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wieczorek\Documents\RAPORTY o syt. finan.ekonom\Raport 2022\"/>
    </mc:Choice>
  </mc:AlternateContent>
  <xr:revisionPtr revIDLastSave="0" documentId="13_ncr:1_{C76664E3-80D5-4EE9-99AC-20034B04585B}" xr6:coauthVersionLast="47" xr6:coauthVersionMax="47" xr10:uidLastSave="{00000000-0000-0000-0000-000000000000}"/>
  <bookViews>
    <workbookView xWindow="-120" yWindow="-120" windowWidth="29040" windowHeight="15840" tabRatio="739" xr2:uid="{00000000-000D-0000-FFFF-FFFF00000000}"/>
  </bookViews>
  <sheets>
    <sheet name="BILANS 2022" sheetId="19" r:id="rId1"/>
    <sheet name="RZiS 2022" sheetId="20" r:id="rId2"/>
    <sheet name="Analiza wskaźnikowa za 2022 rok" sheetId="21" r:id="rId3"/>
    <sheet name="BILANS 2022-prog-wyk" sheetId="28" r:id="rId4"/>
    <sheet name="RZiS 2022-prog-wyk" sheetId="29" r:id="rId5"/>
    <sheet name="Analiza wskaź za 2022 prog-wyk" sheetId="30" r:id="rId6"/>
    <sheet name="BILANS 2023" sheetId="22" r:id="rId7"/>
    <sheet name="RZiS 2023" sheetId="23" r:id="rId8"/>
    <sheet name="Analiza wskaźnikowa za 2023 rok" sheetId="24" r:id="rId9"/>
    <sheet name="Arkusz1" sheetId="36" r:id="rId10"/>
    <sheet name="BILANS 2024" sheetId="25" r:id="rId11"/>
    <sheet name="RZiS 2024" sheetId="26" r:id="rId12"/>
    <sheet name="Analiza wskaźnikowa za 2024 rok" sheetId="27" r:id="rId13"/>
    <sheet name="BILANS 2025" sheetId="1" r:id="rId14"/>
    <sheet name="RZiS 2025" sheetId="2" r:id="rId15"/>
    <sheet name="Analiza wskaźnikowa za 2025 rok" sheetId="4" r:id="rId16"/>
    <sheet name="podsumowanie prognozy" sheetId="18" r:id="rId17"/>
    <sheet name="BILANS prognozy -ZEST" sheetId="31" state="hidden" r:id="rId18"/>
    <sheet name="RZiS prognozy-ZEST" sheetId="32" state="hidden" r:id="rId19"/>
    <sheet name="zestawienie " sheetId="33" state="hidden" r:id="rId20"/>
    <sheet name="ZEST DYR" sheetId="34" state="hidden" r:id="rId21"/>
    <sheet name="ZEST DYR2" sheetId="35" state="hidden" r:id="rId22"/>
  </sheets>
  <definedNames>
    <definedName name="_xlnm.Print_Area" localSheetId="5">'Analiza wskaź za 2022 prog-wyk'!$A$1:$G$60</definedName>
    <definedName name="_xlnm.Print_Area" localSheetId="2">'Analiza wskaźnikowa za 2022 rok'!$A$1:$E$60</definedName>
    <definedName name="_xlnm.Print_Area" localSheetId="8">'Analiza wskaźnikowa za 2023 rok'!$A$1:$E$60</definedName>
    <definedName name="_xlnm.Print_Area" localSheetId="12">'Analiza wskaźnikowa za 2024 rok'!$A$1:$E$60</definedName>
    <definedName name="_xlnm.Print_Area" localSheetId="15">'Analiza wskaźnikowa za 2025 rok'!$A$1:$E$60</definedName>
    <definedName name="_xlnm.Print_Area" localSheetId="0">'BILANS 2022'!$A$1:$M$99</definedName>
    <definedName name="_xlnm.Print_Area" localSheetId="3">'BILANS 2022-prog-wyk'!$A$1:$M$100</definedName>
    <definedName name="_xlnm.Print_Area" localSheetId="6">'BILANS 2023'!$A$1:$M$101</definedName>
    <definedName name="_xlnm.Print_Area" localSheetId="10">'BILANS 2024'!$A$1:$M$101</definedName>
    <definedName name="_xlnm.Print_Area" localSheetId="13">'BILANS 2025'!$A$1:$M$101</definedName>
    <definedName name="_xlnm.Print_Area" localSheetId="17">'BILANS prognozy -ZEST'!$A$1:$W$100</definedName>
    <definedName name="_xlnm.Print_Area" localSheetId="1">'RZiS 2022'!$A$1:$F$63</definedName>
    <definedName name="_xlnm.Print_Area" localSheetId="4">'RZiS 2022-prog-wyk'!$A$1:$F$63</definedName>
    <definedName name="_xlnm.Print_Area" localSheetId="7">'RZiS 2023'!$A$1:$F$63</definedName>
    <definedName name="_xlnm.Print_Area" localSheetId="11">'RZiS 2024'!$A$1:$F$63</definedName>
    <definedName name="_xlnm.Print_Area" localSheetId="14">'RZiS 2025'!$A$1:$F$62</definedName>
    <definedName name="_xlnm.Print_Area" localSheetId="19">'zestawienie '!$M$30:$AA$39</definedName>
    <definedName name="_xlnm.Print_Titles" localSheetId="0">'BILANS 2022'!$6:$7</definedName>
    <definedName name="_xlnm.Print_Titles" localSheetId="3">'BILANS 2022-prog-wyk'!$6:$7</definedName>
    <definedName name="_xlnm.Print_Titles" localSheetId="6">'BILANS 2023'!$6:$7</definedName>
    <definedName name="_xlnm.Print_Titles" localSheetId="10">'BILANS 2024'!$6:$7</definedName>
    <definedName name="_xlnm.Print_Titles" localSheetId="13">'BILANS 2025'!$6:$7</definedName>
  </definedNames>
  <calcPr calcId="191029"/>
</workbook>
</file>

<file path=xl/calcChain.xml><?xml version="1.0" encoding="utf-8"?>
<calcChain xmlns="http://schemas.openxmlformats.org/spreadsheetml/2006/main">
  <c r="G8" i="32" l="1"/>
  <c r="G9" i="32"/>
  <c r="G10" i="32"/>
  <c r="G11" i="32"/>
  <c r="G12" i="32"/>
  <c r="G14" i="32"/>
  <c r="G15" i="32"/>
  <c r="G16" i="32"/>
  <c r="G17" i="32"/>
  <c r="G18" i="32"/>
  <c r="G19" i="32"/>
  <c r="G20" i="32"/>
  <c r="G21" i="32"/>
  <c r="G22" i="32"/>
  <c r="G23" i="32"/>
  <c r="G26" i="32"/>
  <c r="G27" i="32"/>
  <c r="G28" i="32"/>
  <c r="G29" i="32"/>
  <c r="G31" i="32"/>
  <c r="G32" i="32"/>
  <c r="G33" i="32"/>
  <c r="G37" i="32"/>
  <c r="G38" i="32"/>
  <c r="G39" i="32"/>
  <c r="G40" i="32"/>
  <c r="G41" i="32"/>
  <c r="G42" i="32"/>
  <c r="G43" i="32"/>
  <c r="G44" i="32"/>
  <c r="G45" i="32"/>
  <c r="G46" i="32"/>
  <c r="G48" i="32"/>
  <c r="G49" i="32"/>
  <c r="G50" i="32"/>
  <c r="G51" i="32"/>
  <c r="G52" i="32"/>
  <c r="G53" i="32"/>
  <c r="G55" i="32"/>
  <c r="G56" i="32"/>
  <c r="E8" i="30" l="1"/>
  <c r="C16" i="25" l="1"/>
  <c r="A3" i="4" l="1"/>
  <c r="A3" i="27"/>
  <c r="A3" i="24"/>
  <c r="A3" i="21"/>
  <c r="O18" i="30"/>
  <c r="D9" i="19"/>
  <c r="D7" i="2"/>
  <c r="E4" i="18" s="1"/>
  <c r="D7" i="26"/>
  <c r="D7" i="23"/>
  <c r="K7" i="1"/>
  <c r="D7" i="1"/>
  <c r="K7" i="25"/>
  <c r="J7" i="1" s="1"/>
  <c r="D7" i="25"/>
  <c r="C7" i="1" s="1"/>
  <c r="K7" i="22"/>
  <c r="J7" i="25" s="1"/>
  <c r="D7" i="22"/>
  <c r="C7" i="25" s="1"/>
  <c r="D7" i="20"/>
  <c r="D7" i="19"/>
  <c r="C7" i="22" s="1"/>
  <c r="K7" i="19"/>
  <c r="J7" i="22" s="1"/>
  <c r="C7" i="2" l="1"/>
  <c r="G6" i="32"/>
  <c r="C4" i="18"/>
  <c r="C7" i="26"/>
  <c r="B4" i="18"/>
  <c r="C7" i="23"/>
  <c r="J7" i="19"/>
  <c r="C7" i="20"/>
  <c r="C7" i="19"/>
  <c r="D4" i="18"/>
  <c r="C10" i="25" l="1"/>
  <c r="C11" i="25"/>
  <c r="C12" i="25"/>
  <c r="C13" i="25"/>
  <c r="C17" i="25"/>
  <c r="C18" i="25"/>
  <c r="C19" i="25"/>
  <c r="C20" i="25"/>
  <c r="C21" i="25"/>
  <c r="C22" i="25"/>
  <c r="C24" i="25"/>
  <c r="C25" i="25"/>
  <c r="C26" i="25"/>
  <c r="C28" i="25"/>
  <c r="C29" i="25"/>
  <c r="C30" i="25"/>
  <c r="C32" i="25"/>
  <c r="C33" i="25"/>
  <c r="C34" i="25"/>
  <c r="C35" i="25"/>
  <c r="C37" i="25"/>
  <c r="C38" i="25"/>
  <c r="C39" i="25"/>
  <c r="C40" i="25"/>
  <c r="C42" i="25"/>
  <c r="C43" i="25"/>
  <c r="C44" i="25"/>
  <c r="C45" i="25"/>
  <c r="C46" i="25"/>
  <c r="C48" i="25"/>
  <c r="C49" i="25"/>
  <c r="C52" i="25"/>
  <c r="D9" i="25"/>
  <c r="D15" i="25"/>
  <c r="D14" i="25" s="1"/>
  <c r="D23" i="25"/>
  <c r="D27" i="25"/>
  <c r="D31" i="25"/>
  <c r="D36" i="25"/>
  <c r="D41" i="25"/>
  <c r="D47" i="25"/>
  <c r="D51" i="25"/>
  <c r="D8" i="25" l="1"/>
  <c r="D12" i="29"/>
  <c r="D13" i="29"/>
  <c r="E39" i="20" l="1"/>
  <c r="M30" i="33" l="1"/>
  <c r="I30" i="33"/>
  <c r="F30" i="33"/>
  <c r="C30" i="33"/>
  <c r="O30" i="33" s="1"/>
  <c r="B30" i="33"/>
  <c r="N30" i="33" s="1"/>
  <c r="M16" i="33"/>
  <c r="I16" i="33"/>
  <c r="F16" i="33"/>
  <c r="R16" i="33" s="1"/>
  <c r="C16" i="33"/>
  <c r="B16" i="33"/>
  <c r="N16" i="33" s="1"/>
  <c r="M9" i="33"/>
  <c r="I9" i="33"/>
  <c r="F9" i="33"/>
  <c r="R9" i="33" s="1"/>
  <c r="C9" i="33"/>
  <c r="B9" i="33"/>
  <c r="N9" i="33" s="1"/>
  <c r="B3" i="33"/>
  <c r="D87" i="19"/>
  <c r="D87" i="28" s="1"/>
  <c r="C87" i="19"/>
  <c r="D82" i="19"/>
  <c r="C82" i="19"/>
  <c r="D77" i="19"/>
  <c r="C77" i="19"/>
  <c r="D69" i="19"/>
  <c r="D68" i="19" s="1"/>
  <c r="D68" i="28" s="1"/>
  <c r="C69" i="19"/>
  <c r="C68" i="19" s="1"/>
  <c r="D64" i="19"/>
  <c r="D63" i="19" s="1"/>
  <c r="D63" i="28" s="1"/>
  <c r="C64" i="19"/>
  <c r="C63" i="19" s="1"/>
  <c r="D59" i="19"/>
  <c r="C59" i="19"/>
  <c r="D58" i="19"/>
  <c r="D51" i="19"/>
  <c r="C51" i="19"/>
  <c r="D47" i="19"/>
  <c r="C47" i="19"/>
  <c r="D41" i="19"/>
  <c r="C41" i="19"/>
  <c r="D36" i="19"/>
  <c r="C36" i="19"/>
  <c r="D31" i="19"/>
  <c r="C31" i="19"/>
  <c r="D27" i="19"/>
  <c r="C27" i="19"/>
  <c r="D23" i="19"/>
  <c r="C23" i="19"/>
  <c r="D15" i="19"/>
  <c r="D14" i="19" s="1"/>
  <c r="C15" i="19"/>
  <c r="C14" i="19" s="1"/>
  <c r="C9" i="19"/>
  <c r="K66" i="28"/>
  <c r="K65" i="28"/>
  <c r="K63" i="28"/>
  <c r="K61" i="28"/>
  <c r="K60" i="28"/>
  <c r="K59" i="28"/>
  <c r="K58" i="28"/>
  <c r="K57" i="28"/>
  <c r="K56" i="28"/>
  <c r="K55" i="28"/>
  <c r="K54" i="28"/>
  <c r="K52" i="28"/>
  <c r="K51" i="28"/>
  <c r="K50" i="28"/>
  <c r="K48" i="28"/>
  <c r="K47" i="28"/>
  <c r="K46" i="28"/>
  <c r="K43" i="28"/>
  <c r="K42" i="28"/>
  <c r="K41" i="28"/>
  <c r="K37" i="28"/>
  <c r="K36" i="28"/>
  <c r="K35" i="28"/>
  <c r="K34" i="28"/>
  <c r="K33" i="28"/>
  <c r="K31" i="28"/>
  <c r="K30" i="28"/>
  <c r="K28" i="28"/>
  <c r="K27" i="28"/>
  <c r="K25" i="28"/>
  <c r="K22" i="28"/>
  <c r="K19" i="28"/>
  <c r="K18" i="28"/>
  <c r="K17" i="28"/>
  <c r="K16" i="28"/>
  <c r="K15" i="28"/>
  <c r="K14" i="28"/>
  <c r="K13" i="28"/>
  <c r="K12" i="28"/>
  <c r="K11" i="28"/>
  <c r="K10" i="28"/>
  <c r="K9" i="28"/>
  <c r="J64" i="28"/>
  <c r="J62" i="28" s="1"/>
  <c r="J53" i="28"/>
  <c r="J49" i="28" s="1"/>
  <c r="J45" i="28"/>
  <c r="J44" i="28" s="1"/>
  <c r="J40" i="28"/>
  <c r="J39" i="28" s="1"/>
  <c r="J32" i="28"/>
  <c r="J29" i="28" s="1"/>
  <c r="J26" i="28"/>
  <c r="J23" i="28"/>
  <c r="J8" i="28"/>
  <c r="D94" i="28"/>
  <c r="D93" i="28"/>
  <c r="D92" i="28"/>
  <c r="D91" i="28"/>
  <c r="D90" i="28"/>
  <c r="D89" i="28"/>
  <c r="D88" i="28"/>
  <c r="D86" i="28"/>
  <c r="D85" i="28"/>
  <c r="D84" i="28"/>
  <c r="D83" i="28"/>
  <c r="D82" i="28"/>
  <c r="D81" i="28"/>
  <c r="D80" i="28"/>
  <c r="D79" i="28"/>
  <c r="D78" i="28"/>
  <c r="D77" i="28"/>
  <c r="D74" i="28"/>
  <c r="D73" i="28"/>
  <c r="D72" i="28"/>
  <c r="D71" i="28"/>
  <c r="D70" i="28"/>
  <c r="D67" i="28"/>
  <c r="D66" i="28"/>
  <c r="D65" i="28"/>
  <c r="D64" i="28"/>
  <c r="D62" i="28"/>
  <c r="D61" i="28"/>
  <c r="D60" i="28"/>
  <c r="D59" i="28"/>
  <c r="D58" i="28"/>
  <c r="D56" i="28"/>
  <c r="D55" i="28"/>
  <c r="D54" i="28"/>
  <c r="D53" i="28"/>
  <c r="D52" i="28"/>
  <c r="D51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3" i="28"/>
  <c r="D11" i="28"/>
  <c r="D10" i="28"/>
  <c r="D9" i="28"/>
  <c r="C87" i="28"/>
  <c r="C82" i="28"/>
  <c r="C77" i="28"/>
  <c r="C69" i="28"/>
  <c r="C68" i="28"/>
  <c r="C64" i="28"/>
  <c r="C63" i="28" s="1"/>
  <c r="C59" i="28"/>
  <c r="C58" i="28"/>
  <c r="C51" i="28"/>
  <c r="C47" i="28"/>
  <c r="C41" i="28"/>
  <c r="C36" i="28"/>
  <c r="C31" i="28"/>
  <c r="C27" i="28"/>
  <c r="C23" i="28"/>
  <c r="C15" i="28"/>
  <c r="C14" i="28" s="1"/>
  <c r="C9" i="28"/>
  <c r="D48" i="20"/>
  <c r="D48" i="29" s="1"/>
  <c r="C48" i="20"/>
  <c r="D37" i="20"/>
  <c r="C37" i="20"/>
  <c r="C36" i="20" s="1"/>
  <c r="D36" i="20"/>
  <c r="D36" i="29" s="1"/>
  <c r="D31" i="20"/>
  <c r="C31" i="20"/>
  <c r="D26" i="20"/>
  <c r="C26" i="20"/>
  <c r="D14" i="20"/>
  <c r="C14" i="20"/>
  <c r="D8" i="20"/>
  <c r="C8" i="20"/>
  <c r="C48" i="29"/>
  <c r="C37" i="29"/>
  <c r="C36" i="29" s="1"/>
  <c r="C31" i="29"/>
  <c r="C26" i="29"/>
  <c r="C14" i="29"/>
  <c r="C8" i="29"/>
  <c r="D57" i="29"/>
  <c r="D56" i="29"/>
  <c r="D54" i="29"/>
  <c r="D53" i="29"/>
  <c r="D52" i="29"/>
  <c r="D51" i="29"/>
  <c r="D50" i="29"/>
  <c r="D49" i="29"/>
  <c r="D47" i="29"/>
  <c r="D46" i="29"/>
  <c r="D45" i="29"/>
  <c r="D44" i="29"/>
  <c r="D43" i="29"/>
  <c r="D42" i="29"/>
  <c r="D41" i="29"/>
  <c r="D40" i="29"/>
  <c r="D39" i="29"/>
  <c r="D38" i="29"/>
  <c r="D37" i="29"/>
  <c r="D34" i="29"/>
  <c r="D10" i="29"/>
  <c r="D11" i="29"/>
  <c r="D15" i="29"/>
  <c r="D16" i="29"/>
  <c r="D17" i="29"/>
  <c r="D18" i="29"/>
  <c r="D19" i="29"/>
  <c r="D20" i="29"/>
  <c r="D21" i="29"/>
  <c r="D22" i="29"/>
  <c r="D23" i="29"/>
  <c r="D24" i="29"/>
  <c r="D27" i="29"/>
  <c r="D28" i="29"/>
  <c r="D29" i="29"/>
  <c r="D30" i="29"/>
  <c r="D32" i="29"/>
  <c r="D33" i="29"/>
  <c r="K64" i="22"/>
  <c r="K62" i="22" s="1"/>
  <c r="K53" i="22"/>
  <c r="K49" i="22" s="1"/>
  <c r="K45" i="22"/>
  <c r="K44" i="22"/>
  <c r="K40" i="22"/>
  <c r="K39" i="22" s="1"/>
  <c r="K32" i="22"/>
  <c r="K29" i="22" s="1"/>
  <c r="K26" i="22"/>
  <c r="K23" i="22"/>
  <c r="K8" i="22"/>
  <c r="D87" i="22"/>
  <c r="D82" i="22"/>
  <c r="D77" i="22"/>
  <c r="D69" i="22"/>
  <c r="D68" i="22" s="1"/>
  <c r="D64" i="22"/>
  <c r="D63" i="22"/>
  <c r="D59" i="22"/>
  <c r="D58" i="22" s="1"/>
  <c r="D51" i="22"/>
  <c r="C51" i="25" s="1"/>
  <c r="D47" i="22"/>
  <c r="C47" i="25" s="1"/>
  <c r="D41" i="22"/>
  <c r="C41" i="25" s="1"/>
  <c r="D36" i="22"/>
  <c r="C36" i="25" s="1"/>
  <c r="D31" i="22"/>
  <c r="C31" i="25" s="1"/>
  <c r="D27" i="22"/>
  <c r="C27" i="25" s="1"/>
  <c r="D23" i="22"/>
  <c r="C23" i="25" s="1"/>
  <c r="D15" i="22"/>
  <c r="C15" i="25" s="1"/>
  <c r="D9" i="22"/>
  <c r="D48" i="23"/>
  <c r="D37" i="23"/>
  <c r="D36" i="23" s="1"/>
  <c r="D31" i="23"/>
  <c r="D26" i="23"/>
  <c r="D14" i="23"/>
  <c r="D8" i="23"/>
  <c r="D48" i="26"/>
  <c r="G47" i="32" s="1"/>
  <c r="D37" i="26"/>
  <c r="G36" i="32" s="1"/>
  <c r="D31" i="26"/>
  <c r="G30" i="32" s="1"/>
  <c r="D26" i="26"/>
  <c r="G25" i="32" s="1"/>
  <c r="D14" i="26"/>
  <c r="G13" i="32" s="1"/>
  <c r="D8" i="26"/>
  <c r="K64" i="25"/>
  <c r="K62" i="25" s="1"/>
  <c r="K53" i="25"/>
  <c r="K49" i="25" s="1"/>
  <c r="K45" i="25"/>
  <c r="K44" i="25" s="1"/>
  <c r="K40" i="25"/>
  <c r="K39" i="25" s="1"/>
  <c r="K32" i="25"/>
  <c r="K29" i="25" s="1"/>
  <c r="K26" i="25"/>
  <c r="K23" i="25"/>
  <c r="K8" i="25"/>
  <c r="D87" i="25"/>
  <c r="D82" i="25"/>
  <c r="D77" i="25"/>
  <c r="D69" i="25"/>
  <c r="D68" i="25" s="1"/>
  <c r="D64" i="25"/>
  <c r="D63" i="25" s="1"/>
  <c r="D59" i="25"/>
  <c r="D58" i="25" s="1"/>
  <c r="K21" i="22" l="1"/>
  <c r="D57" i="22"/>
  <c r="D50" i="22" s="1"/>
  <c r="D14" i="22"/>
  <c r="C14" i="25" s="1"/>
  <c r="G66" i="32"/>
  <c r="D25" i="23"/>
  <c r="D35" i="23" s="1"/>
  <c r="D13" i="24" s="1"/>
  <c r="K38" i="25"/>
  <c r="C25" i="29"/>
  <c r="C35" i="29" s="1"/>
  <c r="C55" i="29" s="1"/>
  <c r="C58" i="29" s="1"/>
  <c r="C76" i="28"/>
  <c r="C75" i="28" s="1"/>
  <c r="C50" i="28" s="1"/>
  <c r="C8" i="28"/>
  <c r="D76" i="19"/>
  <c r="D15" i="28"/>
  <c r="D14" i="28"/>
  <c r="D8" i="19"/>
  <c r="D8" i="28" s="1"/>
  <c r="D69" i="28"/>
  <c r="D25" i="20"/>
  <c r="D35" i="20" s="1"/>
  <c r="D13" i="21" s="1"/>
  <c r="D8" i="29"/>
  <c r="D76" i="25"/>
  <c r="D75" i="25" s="1"/>
  <c r="D25" i="26"/>
  <c r="G7" i="32"/>
  <c r="C9" i="25"/>
  <c r="C58" i="19"/>
  <c r="D38" i="21"/>
  <c r="K21" i="25"/>
  <c r="D36" i="26"/>
  <c r="G35" i="32" s="1"/>
  <c r="D76" i="22"/>
  <c r="D75" i="22" s="1"/>
  <c r="C57" i="28"/>
  <c r="E8" i="20"/>
  <c r="J21" i="28"/>
  <c r="C25" i="20"/>
  <c r="C35" i="20" s="1"/>
  <c r="C55" i="20" s="1"/>
  <c r="C58" i="20" s="1"/>
  <c r="K9" i="33"/>
  <c r="W9" i="33" s="1"/>
  <c r="K16" i="33"/>
  <c r="W16" i="33" s="1"/>
  <c r="E30" i="33"/>
  <c r="Q30" i="33" s="1"/>
  <c r="U16" i="33"/>
  <c r="E9" i="33"/>
  <c r="Q9" i="33" s="1"/>
  <c r="E16" i="33"/>
  <c r="Q16" i="33" s="1"/>
  <c r="H9" i="33"/>
  <c r="T9" i="33" s="1"/>
  <c r="O16" i="33"/>
  <c r="H16" i="33"/>
  <c r="T16" i="33" s="1"/>
  <c r="O9" i="33"/>
  <c r="G9" i="33"/>
  <c r="S9" i="33" s="1"/>
  <c r="H30" i="33"/>
  <c r="T30" i="33" s="1"/>
  <c r="G30" i="33"/>
  <c r="S30" i="33" s="1"/>
  <c r="R30" i="33"/>
  <c r="G16" i="33"/>
  <c r="S16" i="33" s="1"/>
  <c r="K30" i="33"/>
  <c r="W30" i="33" s="1"/>
  <c r="U30" i="33"/>
  <c r="U9" i="33"/>
  <c r="C76" i="19"/>
  <c r="C75" i="19" s="1"/>
  <c r="C8" i="19"/>
  <c r="D30" i="33"/>
  <c r="P30" i="33" s="1"/>
  <c r="J30" i="33"/>
  <c r="V30" i="33" s="1"/>
  <c r="D16" i="33"/>
  <c r="P16" i="33" s="1"/>
  <c r="J16" i="33"/>
  <c r="V16" i="33" s="1"/>
  <c r="D9" i="33"/>
  <c r="P9" i="33" s="1"/>
  <c r="J9" i="33"/>
  <c r="V9" i="33" s="1"/>
  <c r="D75" i="19"/>
  <c r="D75" i="28" s="1"/>
  <c r="D76" i="28"/>
  <c r="D57" i="19"/>
  <c r="C57" i="19"/>
  <c r="J38" i="28"/>
  <c r="J20" i="28"/>
  <c r="J95" i="28" s="1"/>
  <c r="D35" i="29"/>
  <c r="D14" i="29"/>
  <c r="D25" i="29" s="1"/>
  <c r="D26" i="29"/>
  <c r="D31" i="29"/>
  <c r="K38" i="22"/>
  <c r="D57" i="25"/>
  <c r="I4" i="18"/>
  <c r="J4" i="18"/>
  <c r="K4" i="18"/>
  <c r="H4" i="18"/>
  <c r="D37" i="2"/>
  <c r="M3" i="33"/>
  <c r="I3" i="33"/>
  <c r="F3" i="33"/>
  <c r="C3" i="33"/>
  <c r="N3" i="33"/>
  <c r="J6" i="32"/>
  <c r="D6" i="32"/>
  <c r="C6" i="32"/>
  <c r="W6" i="31"/>
  <c r="T6" i="31"/>
  <c r="Q6" i="31"/>
  <c r="P6" i="31"/>
  <c r="J6" i="31"/>
  <c r="G6" i="31"/>
  <c r="D6" i="31"/>
  <c r="C6" i="31"/>
  <c r="D54" i="24" l="1"/>
  <c r="D8" i="22"/>
  <c r="C8" i="25" s="1"/>
  <c r="D50" i="25"/>
  <c r="D31" i="27" s="1"/>
  <c r="D54" i="27"/>
  <c r="K20" i="25"/>
  <c r="K95" i="25" s="1"/>
  <c r="K20" i="22"/>
  <c r="K95" i="22" s="1"/>
  <c r="D55" i="23"/>
  <c r="D58" i="23" s="1"/>
  <c r="D8" i="24" s="1"/>
  <c r="C95" i="28"/>
  <c r="D55" i="20"/>
  <c r="D58" i="20" s="1"/>
  <c r="G65" i="32"/>
  <c r="D35" i="26"/>
  <c r="G24" i="32"/>
  <c r="C50" i="25"/>
  <c r="D31" i="24"/>
  <c r="D25" i="24"/>
  <c r="K6" i="31"/>
  <c r="H6" i="31"/>
  <c r="H6" i="32"/>
  <c r="K6" i="32"/>
  <c r="E6" i="32"/>
  <c r="D26" i="35"/>
  <c r="D12" i="35"/>
  <c r="D5" i="35"/>
  <c r="D34" i="35"/>
  <c r="D19" i="35"/>
  <c r="O3" i="33"/>
  <c r="E3" i="33"/>
  <c r="Q3" i="33" s="1"/>
  <c r="D3" i="33"/>
  <c r="P3" i="33" s="1"/>
  <c r="R3" i="33"/>
  <c r="H3" i="33"/>
  <c r="T3" i="33" s="1"/>
  <c r="G3" i="33"/>
  <c r="S3" i="33" s="1"/>
  <c r="U3" i="33"/>
  <c r="J3" i="33"/>
  <c r="V3" i="33" s="1"/>
  <c r="K3" i="33"/>
  <c r="W3" i="33" s="1"/>
  <c r="C50" i="19"/>
  <c r="C95" i="19" s="1"/>
  <c r="D57" i="28"/>
  <c r="D50" i="19"/>
  <c r="D95" i="22" l="1"/>
  <c r="D49" i="24" s="1"/>
  <c r="D95" i="25"/>
  <c r="D49" i="27" s="1"/>
  <c r="D25" i="27"/>
  <c r="D55" i="29"/>
  <c r="D55" i="26"/>
  <c r="G34" i="32"/>
  <c r="D13" i="27"/>
  <c r="D58" i="29"/>
  <c r="D8" i="21"/>
  <c r="D12" i="34"/>
  <c r="K12" i="34" s="1"/>
  <c r="E19" i="35"/>
  <c r="D5" i="34"/>
  <c r="K5" i="34" s="1"/>
  <c r="E34" i="35"/>
  <c r="E26" i="35"/>
  <c r="E5" i="35"/>
  <c r="D19" i="34"/>
  <c r="K19" i="34" s="1"/>
  <c r="E12" i="35"/>
  <c r="F19" i="35"/>
  <c r="F26" i="35"/>
  <c r="F5" i="35"/>
  <c r="E19" i="34"/>
  <c r="F34" i="35"/>
  <c r="F12" i="35"/>
  <c r="E12" i="34"/>
  <c r="E5" i="34"/>
  <c r="L5" i="34"/>
  <c r="G34" i="35"/>
  <c r="G26" i="35"/>
  <c r="G19" i="35"/>
  <c r="G12" i="35"/>
  <c r="L12" i="34"/>
  <c r="G5" i="35"/>
  <c r="L19" i="34"/>
  <c r="D50" i="28"/>
  <c r="D95" i="19"/>
  <c r="M121" i="31"/>
  <c r="M120" i="31"/>
  <c r="M119" i="31"/>
  <c r="M118" i="31" s="1"/>
  <c r="D58" i="26" l="1"/>
  <c r="G54" i="32"/>
  <c r="D95" i="28"/>
  <c r="D18" i="21"/>
  <c r="H34" i="35"/>
  <c r="J34" i="35"/>
  <c r="J5" i="35"/>
  <c r="H5" i="35"/>
  <c r="H26" i="35"/>
  <c r="J26" i="35"/>
  <c r="H19" i="35"/>
  <c r="J19" i="35"/>
  <c r="H12" i="35"/>
  <c r="J12" i="35"/>
  <c r="I12" i="35"/>
  <c r="K12" i="35"/>
  <c r="L12" i="35"/>
  <c r="M12" i="35"/>
  <c r="I19" i="35"/>
  <c r="K19" i="35"/>
  <c r="L19" i="35"/>
  <c r="M19" i="35"/>
  <c r="I26" i="35"/>
  <c r="K26" i="35"/>
  <c r="M26" i="35"/>
  <c r="L26" i="35"/>
  <c r="I34" i="35"/>
  <c r="K34" i="35"/>
  <c r="M34" i="35"/>
  <c r="L34" i="35"/>
  <c r="L5" i="35"/>
  <c r="K5" i="35"/>
  <c r="M5" i="35"/>
  <c r="I5" i="35"/>
  <c r="G14" i="18"/>
  <c r="G9" i="18"/>
  <c r="G4" i="18"/>
  <c r="G57" i="32" l="1"/>
  <c r="D8" i="27"/>
  <c r="F26" i="33"/>
  <c r="I27" i="33"/>
  <c r="U27" i="33" s="1"/>
  <c r="F27" i="33"/>
  <c r="C27" i="33"/>
  <c r="O27" i="33" s="1"/>
  <c r="B27" i="33"/>
  <c r="N27" i="33" s="1"/>
  <c r="I26" i="33"/>
  <c r="U26" i="33" s="1"/>
  <c r="C26" i="33"/>
  <c r="O26" i="33" s="1"/>
  <c r="B26" i="33"/>
  <c r="N26" i="33" s="1"/>
  <c r="I25" i="33"/>
  <c r="U25" i="33" s="1"/>
  <c r="F25" i="33"/>
  <c r="R25" i="33" s="1"/>
  <c r="C25" i="33"/>
  <c r="O25" i="33" s="1"/>
  <c r="B25" i="33"/>
  <c r="N25" i="33" s="1"/>
  <c r="I24" i="33"/>
  <c r="U24" i="33" s="1"/>
  <c r="G36" i="35" s="1"/>
  <c r="F24" i="33"/>
  <c r="R24" i="33" s="1"/>
  <c r="C24" i="33"/>
  <c r="B24" i="33"/>
  <c r="N24" i="33" s="1"/>
  <c r="D36" i="35" s="1"/>
  <c r="I23" i="33"/>
  <c r="U23" i="33" s="1"/>
  <c r="G35" i="35" s="1"/>
  <c r="F23" i="33"/>
  <c r="C23" i="33"/>
  <c r="O23" i="33" s="1"/>
  <c r="E35" i="35" s="1"/>
  <c r="B23" i="33"/>
  <c r="N23" i="33" s="1"/>
  <c r="D35" i="35" s="1"/>
  <c r="I22" i="33"/>
  <c r="U22" i="33" s="1"/>
  <c r="F22" i="33"/>
  <c r="R22" i="33" s="1"/>
  <c r="C22" i="33"/>
  <c r="B22" i="33"/>
  <c r="N22" i="33" s="1"/>
  <c r="I21" i="33"/>
  <c r="U21" i="33" s="1"/>
  <c r="F21" i="33"/>
  <c r="C21" i="33"/>
  <c r="O21" i="33" s="1"/>
  <c r="B21" i="33"/>
  <c r="N21" i="33" s="1"/>
  <c r="I20" i="33"/>
  <c r="U20" i="33" s="1"/>
  <c r="G37" i="35" s="1"/>
  <c r="F20" i="33"/>
  <c r="C20" i="33"/>
  <c r="O20" i="33" s="1"/>
  <c r="E37" i="35" s="1"/>
  <c r="B20" i="33"/>
  <c r="N20" i="33" s="1"/>
  <c r="D37" i="35" s="1"/>
  <c r="I19" i="33"/>
  <c r="F19" i="33"/>
  <c r="G19" i="33" s="1"/>
  <c r="H19" i="33" s="1"/>
  <c r="C19" i="33"/>
  <c r="O19" i="33" s="1"/>
  <c r="B19" i="33"/>
  <c r="I18" i="33"/>
  <c r="U18" i="33" s="1"/>
  <c r="F18" i="33"/>
  <c r="C18" i="33"/>
  <c r="B18" i="33"/>
  <c r="N18" i="33" s="1"/>
  <c r="F13" i="33"/>
  <c r="I13" i="33"/>
  <c r="C13" i="33"/>
  <c r="O13" i="33" s="1"/>
  <c r="B13" i="33"/>
  <c r="N13" i="33" s="1"/>
  <c r="D23" i="35" s="1"/>
  <c r="R26" i="33"/>
  <c r="R18" i="33"/>
  <c r="J23" i="33" l="1"/>
  <c r="K23" i="33" s="1"/>
  <c r="J20" i="33"/>
  <c r="K20" i="33" s="1"/>
  <c r="G22" i="33"/>
  <c r="H22" i="33" s="1"/>
  <c r="R19" i="33"/>
  <c r="V19" i="33" s="1"/>
  <c r="W19" i="33" s="1"/>
  <c r="O22" i="33"/>
  <c r="D19" i="33"/>
  <c r="E19" i="33" s="1"/>
  <c r="J22" i="33"/>
  <c r="K22" i="33" s="1"/>
  <c r="J18" i="33"/>
  <c r="K18" i="33" s="1"/>
  <c r="G13" i="33"/>
  <c r="H13" i="33" s="1"/>
  <c r="D26" i="33"/>
  <c r="E26" i="33" s="1"/>
  <c r="G27" i="33"/>
  <c r="H27" i="33" s="1"/>
  <c r="D24" i="33"/>
  <c r="E24" i="33" s="1"/>
  <c r="D20" i="33"/>
  <c r="E20" i="33" s="1"/>
  <c r="O24" i="33"/>
  <c r="E36" i="35" s="1"/>
  <c r="E38" i="35" s="1"/>
  <c r="D27" i="33"/>
  <c r="E27" i="33" s="1"/>
  <c r="G24" i="33"/>
  <c r="H24" i="33" s="1"/>
  <c r="G26" i="33"/>
  <c r="H26" i="33" s="1"/>
  <c r="R13" i="33"/>
  <c r="F23" i="35" s="1"/>
  <c r="R27" i="33"/>
  <c r="V27" i="33" s="1"/>
  <c r="W27" i="33" s="1"/>
  <c r="J27" i="33"/>
  <c r="K27" i="33" s="1"/>
  <c r="D13" i="33"/>
  <c r="E13" i="33" s="1"/>
  <c r="L37" i="35"/>
  <c r="M37" i="35" s="1"/>
  <c r="J26" i="33"/>
  <c r="K26" i="33" s="1"/>
  <c r="D38" i="35"/>
  <c r="N19" i="33"/>
  <c r="N17" i="33" s="1"/>
  <c r="R23" i="33"/>
  <c r="V23" i="33" s="1"/>
  <c r="W23" i="33" s="1"/>
  <c r="F36" i="35"/>
  <c r="H36" i="35" s="1"/>
  <c r="J36" i="35" s="1"/>
  <c r="E23" i="35"/>
  <c r="D23" i="34"/>
  <c r="D25" i="33"/>
  <c r="E25" i="33" s="1"/>
  <c r="L35" i="35"/>
  <c r="M35" i="35" s="1"/>
  <c r="G38" i="35"/>
  <c r="G23" i="33"/>
  <c r="H23" i="33" s="1"/>
  <c r="L36" i="35"/>
  <c r="M36" i="35" s="1"/>
  <c r="U13" i="33"/>
  <c r="C17" i="33"/>
  <c r="G25" i="33"/>
  <c r="H25" i="33" s="1"/>
  <c r="F17" i="33"/>
  <c r="J25" i="33"/>
  <c r="K25" i="33" s="1"/>
  <c r="X25" i="33"/>
  <c r="Y25" i="33" s="1"/>
  <c r="S25" i="33"/>
  <c r="T25" i="33" s="1"/>
  <c r="J24" i="33"/>
  <c r="K24" i="33" s="1"/>
  <c r="D23" i="33"/>
  <c r="E23" i="33" s="1"/>
  <c r="D22" i="33"/>
  <c r="E22" i="33" s="1"/>
  <c r="I17" i="33"/>
  <c r="J21" i="33"/>
  <c r="K21" i="33" s="1"/>
  <c r="X21" i="33"/>
  <c r="Y21" i="33" s="1"/>
  <c r="G21" i="33"/>
  <c r="H21" i="33" s="1"/>
  <c r="R21" i="33"/>
  <c r="V21" i="33" s="1"/>
  <c r="W21" i="33" s="1"/>
  <c r="D21" i="33"/>
  <c r="E21" i="33" s="1"/>
  <c r="G20" i="33"/>
  <c r="H20" i="33" s="1"/>
  <c r="R20" i="33"/>
  <c r="P20" i="33"/>
  <c r="Q20" i="33" s="1"/>
  <c r="J19" i="33"/>
  <c r="K19" i="33" s="1"/>
  <c r="U19" i="33"/>
  <c r="U17" i="33" s="1"/>
  <c r="D18" i="33"/>
  <c r="E18" i="33" s="1"/>
  <c r="O18" i="33"/>
  <c r="P18" i="33" s="1"/>
  <c r="Q18" i="33" s="1"/>
  <c r="G18" i="33"/>
  <c r="H18" i="33" s="1"/>
  <c r="P22" i="33"/>
  <c r="Q22" i="33" s="1"/>
  <c r="B17" i="33"/>
  <c r="P24" i="33"/>
  <c r="Q24" i="33" s="1"/>
  <c r="X18" i="33"/>
  <c r="Y18" i="33" s="1"/>
  <c r="J13" i="33"/>
  <c r="K13" i="33" s="1"/>
  <c r="X27" i="33"/>
  <c r="Y27" i="33" s="1"/>
  <c r="X20" i="33"/>
  <c r="X23" i="33"/>
  <c r="V22" i="33"/>
  <c r="W22" i="33" s="1"/>
  <c r="V24" i="33"/>
  <c r="W24" i="33" s="1"/>
  <c r="V26" i="33"/>
  <c r="W26" i="33" s="1"/>
  <c r="P26" i="33"/>
  <c r="Q26" i="33" s="1"/>
  <c r="P13" i="33"/>
  <c r="Q13" i="33" s="1"/>
  <c r="P19" i="33"/>
  <c r="Q19" i="33" s="1"/>
  <c r="P21" i="33"/>
  <c r="Q21" i="33" s="1"/>
  <c r="S22" i="33"/>
  <c r="T22" i="33" s="1"/>
  <c r="P25" i="33"/>
  <c r="Q25" i="33" s="1"/>
  <c r="S26" i="33"/>
  <c r="T26" i="33" s="1"/>
  <c r="V18" i="33"/>
  <c r="W18" i="33" s="1"/>
  <c r="X22" i="33"/>
  <c r="Y22" i="33" s="1"/>
  <c r="X24" i="33"/>
  <c r="X26" i="33"/>
  <c r="Y26" i="33" s="1"/>
  <c r="P23" i="33"/>
  <c r="Q23" i="33" s="1"/>
  <c r="V25" i="33"/>
  <c r="W25" i="33" s="1"/>
  <c r="P27" i="33"/>
  <c r="Q27" i="33" s="1"/>
  <c r="S19" i="33" l="1"/>
  <c r="T19" i="33" s="1"/>
  <c r="Z24" i="33"/>
  <c r="Y24" i="33"/>
  <c r="E23" i="34"/>
  <c r="Z23" i="33"/>
  <c r="Y23" i="33"/>
  <c r="Z20" i="33"/>
  <c r="Y20" i="33"/>
  <c r="S24" i="33"/>
  <c r="T24" i="33" s="1"/>
  <c r="S13" i="33"/>
  <c r="T13" i="33" s="1"/>
  <c r="S21" i="33"/>
  <c r="T21" i="33" s="1"/>
  <c r="S18" i="33"/>
  <c r="T18" i="33" s="1"/>
  <c r="H23" i="35"/>
  <c r="J23" i="35" s="1"/>
  <c r="G17" i="33"/>
  <c r="H17" i="33" s="1"/>
  <c r="S27" i="33"/>
  <c r="T27" i="33" s="1"/>
  <c r="V13" i="33"/>
  <c r="W13" i="33" s="1"/>
  <c r="I36" i="35"/>
  <c r="K36" i="35" s="1"/>
  <c r="X19" i="33"/>
  <c r="L38" i="35"/>
  <c r="M38" i="35" s="1"/>
  <c r="F23" i="34"/>
  <c r="G23" i="34" s="1"/>
  <c r="K23" i="34"/>
  <c r="S20" i="33"/>
  <c r="T20" i="33" s="1"/>
  <c r="F37" i="35"/>
  <c r="G23" i="35"/>
  <c r="L23" i="34"/>
  <c r="V20" i="33"/>
  <c r="W20" i="33" s="1"/>
  <c r="X13" i="33"/>
  <c r="Y13" i="33" s="1"/>
  <c r="S23" i="33"/>
  <c r="F35" i="35"/>
  <c r="J17" i="33"/>
  <c r="K17" i="33" s="1"/>
  <c r="X17" i="33"/>
  <c r="R17" i="33"/>
  <c r="V17" i="33" s="1"/>
  <c r="W17" i="33" s="1"/>
  <c r="D17" i="33"/>
  <c r="E17" i="33" s="1"/>
  <c r="O17" i="33"/>
  <c r="P17" i="33" s="1"/>
  <c r="Q17" i="33" s="1"/>
  <c r="AB23" i="33"/>
  <c r="AB24" i="33" s="1"/>
  <c r="Z17" i="33" l="1"/>
  <c r="Y17" i="33"/>
  <c r="Z19" i="33"/>
  <c r="Y19" i="33"/>
  <c r="M23" i="34"/>
  <c r="N23" i="34" s="1"/>
  <c r="H37" i="35"/>
  <c r="J37" i="35" s="1"/>
  <c r="I37" i="35"/>
  <c r="K37" i="35" s="1"/>
  <c r="T23" i="33"/>
  <c r="S28" i="33"/>
  <c r="T28" i="33" s="1"/>
  <c r="L23" i="35"/>
  <c r="M23" i="35" s="1"/>
  <c r="I23" i="35"/>
  <c r="K23" i="35" s="1"/>
  <c r="F38" i="35"/>
  <c r="H35" i="35"/>
  <c r="I35" i="35"/>
  <c r="S17" i="33"/>
  <c r="T17" i="33" s="1"/>
  <c r="J35" i="35" l="1"/>
  <c r="H38" i="35"/>
  <c r="J38" i="35" s="1"/>
  <c r="K35" i="35"/>
  <c r="I38" i="35"/>
  <c r="K38" i="35" s="1"/>
  <c r="J56" i="32" l="1"/>
  <c r="D56" i="32"/>
  <c r="C56" i="32"/>
  <c r="J55" i="32"/>
  <c r="K55" i="32" s="1"/>
  <c r="L55" i="32" s="1"/>
  <c r="D55" i="32"/>
  <c r="C55" i="32"/>
  <c r="J53" i="32"/>
  <c r="K53" i="32" s="1"/>
  <c r="L53" i="32" s="1"/>
  <c r="D53" i="32"/>
  <c r="H53" i="32" s="1"/>
  <c r="I53" i="32" s="1"/>
  <c r="C53" i="32"/>
  <c r="J52" i="32"/>
  <c r="K52" i="32" s="1"/>
  <c r="L52" i="32" s="1"/>
  <c r="D52" i="32"/>
  <c r="C52" i="32"/>
  <c r="J51" i="32"/>
  <c r="K51" i="32" s="1"/>
  <c r="L51" i="32" s="1"/>
  <c r="D51" i="32"/>
  <c r="H51" i="32" s="1"/>
  <c r="I51" i="32" s="1"/>
  <c r="C51" i="32"/>
  <c r="J50" i="32"/>
  <c r="K50" i="32" s="1"/>
  <c r="L50" i="32" s="1"/>
  <c r="D50" i="32"/>
  <c r="C50" i="32"/>
  <c r="J49" i="32"/>
  <c r="K49" i="32" s="1"/>
  <c r="L49" i="32" s="1"/>
  <c r="D49" i="32"/>
  <c r="C49" i="32"/>
  <c r="J48" i="32"/>
  <c r="D48" i="32"/>
  <c r="C48" i="32"/>
  <c r="J46" i="32"/>
  <c r="K46" i="32" s="1"/>
  <c r="L46" i="32" s="1"/>
  <c r="D46" i="32"/>
  <c r="C46" i="32"/>
  <c r="J45" i="32"/>
  <c r="K45" i="32" s="1"/>
  <c r="L45" i="32" s="1"/>
  <c r="D45" i="32"/>
  <c r="C45" i="32"/>
  <c r="J44" i="32"/>
  <c r="K44" i="32" s="1"/>
  <c r="L44" i="32" s="1"/>
  <c r="D44" i="32"/>
  <c r="C44" i="32"/>
  <c r="J43" i="32"/>
  <c r="K43" i="32" s="1"/>
  <c r="L43" i="32" s="1"/>
  <c r="D43" i="32"/>
  <c r="C43" i="32"/>
  <c r="J42" i="32"/>
  <c r="K42" i="32" s="1"/>
  <c r="L42" i="32" s="1"/>
  <c r="D42" i="32"/>
  <c r="C42" i="32"/>
  <c r="J41" i="32"/>
  <c r="K41" i="32" s="1"/>
  <c r="L41" i="32" s="1"/>
  <c r="D41" i="32"/>
  <c r="C41" i="32"/>
  <c r="J40" i="32"/>
  <c r="K40" i="32" s="1"/>
  <c r="L40" i="32" s="1"/>
  <c r="D40" i="32"/>
  <c r="C40" i="32"/>
  <c r="J39" i="32"/>
  <c r="K39" i="32" s="1"/>
  <c r="L39" i="32" s="1"/>
  <c r="D39" i="32"/>
  <c r="H39" i="32" s="1"/>
  <c r="I39" i="32" s="1"/>
  <c r="C39" i="32"/>
  <c r="J38" i="32"/>
  <c r="D38" i="32"/>
  <c r="C38" i="32"/>
  <c r="J37" i="32"/>
  <c r="K37" i="32" s="1"/>
  <c r="L37" i="32" s="1"/>
  <c r="D37" i="32"/>
  <c r="H37" i="32" s="1"/>
  <c r="I37" i="32" s="1"/>
  <c r="C37" i="32"/>
  <c r="J36" i="32"/>
  <c r="D36" i="32"/>
  <c r="C36" i="32"/>
  <c r="J33" i="32"/>
  <c r="K33" i="32" s="1"/>
  <c r="L33" i="32" s="1"/>
  <c r="D33" i="32"/>
  <c r="C33" i="32"/>
  <c r="J32" i="32"/>
  <c r="D32" i="32"/>
  <c r="C32" i="32"/>
  <c r="J31" i="32"/>
  <c r="K31" i="32" s="1"/>
  <c r="L31" i="32" s="1"/>
  <c r="D31" i="32"/>
  <c r="C31" i="32"/>
  <c r="J29" i="32"/>
  <c r="K29" i="32" s="1"/>
  <c r="L29" i="32" s="1"/>
  <c r="D29" i="32"/>
  <c r="H29" i="32" s="1"/>
  <c r="I29" i="32" s="1"/>
  <c r="C29" i="32"/>
  <c r="J28" i="32"/>
  <c r="K28" i="32" s="1"/>
  <c r="L28" i="32" s="1"/>
  <c r="D28" i="32"/>
  <c r="C28" i="32"/>
  <c r="J27" i="32"/>
  <c r="K27" i="32" s="1"/>
  <c r="L27" i="32" s="1"/>
  <c r="D27" i="32"/>
  <c r="H27" i="32" s="1"/>
  <c r="I27" i="32" s="1"/>
  <c r="C27" i="32"/>
  <c r="J26" i="32"/>
  <c r="K26" i="32" s="1"/>
  <c r="L26" i="32" s="1"/>
  <c r="D26" i="32"/>
  <c r="C26" i="32"/>
  <c r="J23" i="32"/>
  <c r="K23" i="32" s="1"/>
  <c r="L23" i="32" s="1"/>
  <c r="D23" i="32"/>
  <c r="H23" i="32" s="1"/>
  <c r="I23" i="32" s="1"/>
  <c r="C23" i="32"/>
  <c r="J22" i="32"/>
  <c r="D22" i="32"/>
  <c r="C22" i="32"/>
  <c r="J21" i="32"/>
  <c r="D21" i="32"/>
  <c r="C21" i="32"/>
  <c r="J20" i="32"/>
  <c r="D20" i="32"/>
  <c r="C20" i="32"/>
  <c r="J19" i="32"/>
  <c r="K19" i="32" s="1"/>
  <c r="L19" i="32" s="1"/>
  <c r="D19" i="32"/>
  <c r="H19" i="32" s="1"/>
  <c r="I19" i="32" s="1"/>
  <c r="C19" i="32"/>
  <c r="J18" i="32"/>
  <c r="K18" i="32" s="1"/>
  <c r="L18" i="32" s="1"/>
  <c r="D18" i="32"/>
  <c r="C18" i="32"/>
  <c r="J17" i="32"/>
  <c r="K17" i="32" s="1"/>
  <c r="L17" i="32" s="1"/>
  <c r="D17" i="32"/>
  <c r="H17" i="32" s="1"/>
  <c r="I17" i="32" s="1"/>
  <c r="C17" i="32"/>
  <c r="J16" i="32"/>
  <c r="D16" i="32"/>
  <c r="C16" i="32"/>
  <c r="J15" i="32"/>
  <c r="K15" i="32" s="1"/>
  <c r="L15" i="32" s="1"/>
  <c r="D15" i="32"/>
  <c r="C15" i="32"/>
  <c r="J14" i="32"/>
  <c r="D14" i="32"/>
  <c r="C14" i="32"/>
  <c r="J12" i="32"/>
  <c r="K12" i="32" s="1"/>
  <c r="L12" i="32" s="1"/>
  <c r="D12" i="32"/>
  <c r="C12" i="32"/>
  <c r="J11" i="32"/>
  <c r="K11" i="32" s="1"/>
  <c r="L11" i="32" s="1"/>
  <c r="D11" i="32"/>
  <c r="H11" i="32" s="1"/>
  <c r="I11" i="32" s="1"/>
  <c r="C11" i="32"/>
  <c r="J10" i="32"/>
  <c r="D10" i="32"/>
  <c r="C10" i="32"/>
  <c r="J9" i="32"/>
  <c r="D9" i="32"/>
  <c r="C9" i="32"/>
  <c r="J8" i="32"/>
  <c r="D8" i="32"/>
  <c r="C8" i="32"/>
  <c r="W93" i="31"/>
  <c r="T93" i="31"/>
  <c r="Q93" i="31"/>
  <c r="P93" i="31"/>
  <c r="W92" i="31"/>
  <c r="T92" i="31"/>
  <c r="Q92" i="31"/>
  <c r="P92" i="31"/>
  <c r="W91" i="31"/>
  <c r="T91" i="31"/>
  <c r="U91" i="31" s="1"/>
  <c r="V91" i="31" s="1"/>
  <c r="Q91" i="31"/>
  <c r="R91" i="31" s="1"/>
  <c r="S91" i="31" s="1"/>
  <c r="P91" i="31"/>
  <c r="W90" i="31"/>
  <c r="T90" i="31"/>
  <c r="Q90" i="31"/>
  <c r="P90" i="31"/>
  <c r="W89" i="31"/>
  <c r="T89" i="31"/>
  <c r="Q89" i="31"/>
  <c r="P89" i="31"/>
  <c r="W88" i="31"/>
  <c r="T88" i="31"/>
  <c r="U88" i="31" s="1"/>
  <c r="V88" i="31" s="1"/>
  <c r="Q88" i="31"/>
  <c r="R88" i="31" s="1"/>
  <c r="S88" i="31" s="1"/>
  <c r="P88" i="31"/>
  <c r="W87" i="31"/>
  <c r="T87" i="31"/>
  <c r="Q87" i="31"/>
  <c r="R87" i="31" s="1"/>
  <c r="S87" i="31" s="1"/>
  <c r="P87" i="31"/>
  <c r="W86" i="31"/>
  <c r="T86" i="31"/>
  <c r="Q86" i="31"/>
  <c r="P86" i="31"/>
  <c r="W85" i="31"/>
  <c r="T85" i="31"/>
  <c r="U85" i="31" s="1"/>
  <c r="V85" i="31" s="1"/>
  <c r="Q85" i="31"/>
  <c r="P85" i="31"/>
  <c r="W84" i="31"/>
  <c r="T84" i="31"/>
  <c r="Q84" i="31"/>
  <c r="R84" i="31" s="1"/>
  <c r="S84" i="31" s="1"/>
  <c r="P84" i="31"/>
  <c r="W83" i="31"/>
  <c r="T83" i="31"/>
  <c r="Q83" i="31"/>
  <c r="P83" i="31"/>
  <c r="W82" i="31"/>
  <c r="T82" i="31"/>
  <c r="U82" i="31" s="1"/>
  <c r="V82" i="31" s="1"/>
  <c r="Q82" i="31"/>
  <c r="R82" i="31" s="1"/>
  <c r="S82" i="31" s="1"/>
  <c r="P82" i="31"/>
  <c r="W81" i="31"/>
  <c r="T81" i="31"/>
  <c r="Q81" i="31"/>
  <c r="P81" i="31"/>
  <c r="W80" i="31"/>
  <c r="T80" i="31"/>
  <c r="Q80" i="31"/>
  <c r="P80" i="31"/>
  <c r="W79" i="31"/>
  <c r="T79" i="31"/>
  <c r="U79" i="31" s="1"/>
  <c r="V79" i="31" s="1"/>
  <c r="Q79" i="31"/>
  <c r="R79" i="31" s="1"/>
  <c r="S79" i="31" s="1"/>
  <c r="P79" i="31"/>
  <c r="W78" i="31"/>
  <c r="T78" i="31"/>
  <c r="Q78" i="31"/>
  <c r="R78" i="31" s="1"/>
  <c r="S78" i="31" s="1"/>
  <c r="P78" i="31"/>
  <c r="W77" i="31"/>
  <c r="T77" i="31"/>
  <c r="Q77" i="31"/>
  <c r="P77" i="31"/>
  <c r="W76" i="31"/>
  <c r="T76" i="31"/>
  <c r="U76" i="31" s="1"/>
  <c r="V76" i="31" s="1"/>
  <c r="Q76" i="31"/>
  <c r="R76" i="31" s="1"/>
  <c r="S76" i="31" s="1"/>
  <c r="P76" i="31"/>
  <c r="W75" i="31"/>
  <c r="T75" i="31"/>
  <c r="Q75" i="31"/>
  <c r="R75" i="31" s="1"/>
  <c r="S75" i="31" s="1"/>
  <c r="P75" i="31"/>
  <c r="W74" i="31"/>
  <c r="T74" i="31"/>
  <c r="Q74" i="31"/>
  <c r="P74" i="31"/>
  <c r="W73" i="31"/>
  <c r="T73" i="31"/>
  <c r="Q73" i="31"/>
  <c r="R73" i="31" s="1"/>
  <c r="S73" i="31" s="1"/>
  <c r="P73" i="31"/>
  <c r="W72" i="31"/>
  <c r="T72" i="31"/>
  <c r="Q72" i="31"/>
  <c r="P72" i="31"/>
  <c r="W71" i="31"/>
  <c r="T71" i="31"/>
  <c r="Q71" i="31"/>
  <c r="P71" i="31"/>
  <c r="W70" i="31"/>
  <c r="T70" i="31"/>
  <c r="Q70" i="31"/>
  <c r="P70" i="31"/>
  <c r="W69" i="31"/>
  <c r="T69" i="31"/>
  <c r="Q69" i="31"/>
  <c r="P69" i="31"/>
  <c r="W68" i="31"/>
  <c r="T68" i="31"/>
  <c r="Q68" i="31"/>
  <c r="P68" i="31"/>
  <c r="W67" i="31"/>
  <c r="T67" i="31"/>
  <c r="Q67" i="31"/>
  <c r="P67" i="31"/>
  <c r="W66" i="31"/>
  <c r="T66" i="31"/>
  <c r="Q66" i="31"/>
  <c r="P66" i="31"/>
  <c r="W65" i="31"/>
  <c r="T65" i="31"/>
  <c r="Q65" i="31"/>
  <c r="P65" i="31"/>
  <c r="W64" i="31"/>
  <c r="T64" i="31"/>
  <c r="Q64" i="31"/>
  <c r="P64" i="31"/>
  <c r="W62" i="31"/>
  <c r="T62" i="31"/>
  <c r="Q62" i="31"/>
  <c r="R62" i="31" s="1"/>
  <c r="S62" i="31" s="1"/>
  <c r="P62" i="31"/>
  <c r="W60" i="31"/>
  <c r="T60" i="31"/>
  <c r="Q60" i="31"/>
  <c r="P60" i="31"/>
  <c r="W59" i="31"/>
  <c r="T59" i="31"/>
  <c r="Q59" i="31"/>
  <c r="P59" i="31"/>
  <c r="W58" i="31"/>
  <c r="T58" i="31"/>
  <c r="Q58" i="31"/>
  <c r="P58" i="31"/>
  <c r="W57" i="31"/>
  <c r="T57" i="31"/>
  <c r="Q57" i="31"/>
  <c r="P57" i="31"/>
  <c r="W56" i="31"/>
  <c r="X56" i="31" s="1"/>
  <c r="Y56" i="31" s="1"/>
  <c r="T56" i="31"/>
  <c r="Q56" i="31"/>
  <c r="R56" i="31" s="1"/>
  <c r="S56" i="31" s="1"/>
  <c r="P56" i="31"/>
  <c r="W55" i="31"/>
  <c r="T55" i="31"/>
  <c r="Q55" i="31"/>
  <c r="P55" i="31"/>
  <c r="W54" i="31"/>
  <c r="T54" i="31"/>
  <c r="Q54" i="31"/>
  <c r="P54" i="31"/>
  <c r="T53" i="31"/>
  <c r="Q53" i="31"/>
  <c r="P53" i="31"/>
  <c r="W51" i="31"/>
  <c r="T51" i="31"/>
  <c r="Q51" i="31"/>
  <c r="P51" i="31"/>
  <c r="W50" i="31"/>
  <c r="X50" i="31" s="1"/>
  <c r="Y50" i="31" s="1"/>
  <c r="T50" i="31"/>
  <c r="Q50" i="31"/>
  <c r="P50" i="31"/>
  <c r="W49" i="31"/>
  <c r="T49" i="31"/>
  <c r="U49" i="31" s="1"/>
  <c r="V49" i="31" s="1"/>
  <c r="Q49" i="31"/>
  <c r="P49" i="31"/>
  <c r="W47" i="31"/>
  <c r="X47" i="31" s="1"/>
  <c r="Y47" i="31" s="1"/>
  <c r="T47" i="31"/>
  <c r="Q47" i="31"/>
  <c r="P47" i="31"/>
  <c r="W46" i="31"/>
  <c r="X46" i="31" s="1"/>
  <c r="Y46" i="31" s="1"/>
  <c r="T46" i="31"/>
  <c r="Q46" i="31"/>
  <c r="P46" i="31"/>
  <c r="W45" i="31"/>
  <c r="X45" i="31" s="1"/>
  <c r="Y45" i="31" s="1"/>
  <c r="T45" i="31"/>
  <c r="U45" i="31" s="1"/>
  <c r="V45" i="31" s="1"/>
  <c r="Q45" i="31"/>
  <c r="P45" i="31"/>
  <c r="W42" i="31"/>
  <c r="X42" i="31" s="1"/>
  <c r="Y42" i="31" s="1"/>
  <c r="T42" i="31"/>
  <c r="Q42" i="31"/>
  <c r="P42" i="31"/>
  <c r="W41" i="31"/>
  <c r="X41" i="31" s="1"/>
  <c r="Y41" i="31" s="1"/>
  <c r="T41" i="31"/>
  <c r="Q41" i="31"/>
  <c r="P41" i="31"/>
  <c r="W40" i="31"/>
  <c r="X40" i="31" s="1"/>
  <c r="Y40" i="31" s="1"/>
  <c r="T40" i="31"/>
  <c r="U40" i="31" s="1"/>
  <c r="V40" i="31" s="1"/>
  <c r="Q40" i="31"/>
  <c r="R40" i="31" s="1"/>
  <c r="S40" i="31" s="1"/>
  <c r="P40" i="31"/>
  <c r="W36" i="31"/>
  <c r="X36" i="31" s="1"/>
  <c r="Y36" i="31" s="1"/>
  <c r="T36" i="31"/>
  <c r="Q36" i="31"/>
  <c r="P36" i="31"/>
  <c r="W35" i="31"/>
  <c r="X35" i="31" s="1"/>
  <c r="Y35" i="31" s="1"/>
  <c r="T35" i="31"/>
  <c r="Q35" i="31"/>
  <c r="P35" i="31"/>
  <c r="W34" i="31"/>
  <c r="T34" i="31"/>
  <c r="Q34" i="31"/>
  <c r="P34" i="31"/>
  <c r="W33" i="31"/>
  <c r="X33" i="31" s="1"/>
  <c r="Y33" i="31" s="1"/>
  <c r="T33" i="31"/>
  <c r="Q33" i="31"/>
  <c r="P33" i="31"/>
  <c r="W32" i="31"/>
  <c r="T32" i="31"/>
  <c r="Q32" i="31"/>
  <c r="P32" i="31"/>
  <c r="W30" i="31"/>
  <c r="X30" i="31" s="1"/>
  <c r="Y30" i="31" s="1"/>
  <c r="T30" i="31"/>
  <c r="U30" i="31" s="1"/>
  <c r="V30" i="31" s="1"/>
  <c r="Q30" i="31"/>
  <c r="R30" i="31" s="1"/>
  <c r="S30" i="31" s="1"/>
  <c r="P30" i="31"/>
  <c r="W29" i="31"/>
  <c r="X29" i="31" s="1"/>
  <c r="Y29" i="31" s="1"/>
  <c r="T29" i="31"/>
  <c r="Q29" i="31"/>
  <c r="P29" i="31"/>
  <c r="W27" i="31"/>
  <c r="T27" i="31"/>
  <c r="Q27" i="31"/>
  <c r="P27" i="31"/>
  <c r="W26" i="31"/>
  <c r="X26" i="31" s="1"/>
  <c r="Y26" i="31" s="1"/>
  <c r="T26" i="31"/>
  <c r="U26" i="31" s="1"/>
  <c r="V26" i="31" s="1"/>
  <c r="Q26" i="31"/>
  <c r="P26" i="31"/>
  <c r="W24" i="31"/>
  <c r="T24" i="31"/>
  <c r="Q24" i="31"/>
  <c r="P24" i="31"/>
  <c r="W23" i="31"/>
  <c r="T23" i="31"/>
  <c r="Q23" i="31"/>
  <c r="P23" i="31"/>
  <c r="W21" i="31"/>
  <c r="X21" i="31" s="1"/>
  <c r="Y21" i="31" s="1"/>
  <c r="T21" i="31"/>
  <c r="U21" i="31" s="1"/>
  <c r="V21" i="31" s="1"/>
  <c r="Q21" i="31"/>
  <c r="P21" i="31"/>
  <c r="W18" i="31"/>
  <c r="X18" i="31" s="1"/>
  <c r="Y18" i="31" s="1"/>
  <c r="T18" i="31"/>
  <c r="Q18" i="31"/>
  <c r="P18" i="31"/>
  <c r="W17" i="31"/>
  <c r="X17" i="31" s="1"/>
  <c r="Y17" i="31" s="1"/>
  <c r="T17" i="31"/>
  <c r="Q17" i="31"/>
  <c r="P17" i="31"/>
  <c r="C109" i="31" s="1"/>
  <c r="W15" i="31"/>
  <c r="X15" i="31" s="1"/>
  <c r="Y15" i="31" s="1"/>
  <c r="T15" i="31"/>
  <c r="U15" i="31" s="1"/>
  <c r="V15" i="31" s="1"/>
  <c r="Q15" i="31"/>
  <c r="R15" i="31" s="1"/>
  <c r="S15" i="31" s="1"/>
  <c r="P15" i="31"/>
  <c r="W14" i="31"/>
  <c r="X14" i="31" s="1"/>
  <c r="Y14" i="31" s="1"/>
  <c r="T14" i="31"/>
  <c r="Q14" i="31"/>
  <c r="P14" i="31"/>
  <c r="W13" i="31"/>
  <c r="X13" i="31" s="1"/>
  <c r="Y13" i="31" s="1"/>
  <c r="T13" i="31"/>
  <c r="Q13" i="31"/>
  <c r="P13" i="31"/>
  <c r="W12" i="31"/>
  <c r="X12" i="31" s="1"/>
  <c r="Y12" i="31" s="1"/>
  <c r="T12" i="31"/>
  <c r="U12" i="31" s="1"/>
  <c r="V12" i="31" s="1"/>
  <c r="Q12" i="31"/>
  <c r="R12" i="31" s="1"/>
  <c r="S12" i="31" s="1"/>
  <c r="P12" i="31"/>
  <c r="W11" i="31"/>
  <c r="X11" i="31" s="1"/>
  <c r="Y11" i="31" s="1"/>
  <c r="T11" i="31"/>
  <c r="Q11" i="31"/>
  <c r="P11" i="31"/>
  <c r="W10" i="31"/>
  <c r="X10" i="31" s="1"/>
  <c r="Y10" i="31" s="1"/>
  <c r="T10" i="31"/>
  <c r="Q10" i="31"/>
  <c r="P10" i="31"/>
  <c r="W9" i="31"/>
  <c r="X9" i="31" s="1"/>
  <c r="Y9" i="31" s="1"/>
  <c r="T9" i="31"/>
  <c r="U9" i="31" s="1"/>
  <c r="V9" i="31" s="1"/>
  <c r="Q9" i="31"/>
  <c r="P9" i="31"/>
  <c r="W8" i="31"/>
  <c r="T8" i="31"/>
  <c r="Q8" i="31"/>
  <c r="P8" i="31"/>
  <c r="J93" i="31"/>
  <c r="K93" i="31" s="1"/>
  <c r="L93" i="31" s="1"/>
  <c r="G93" i="31"/>
  <c r="D93" i="31"/>
  <c r="C93" i="31"/>
  <c r="J92" i="31"/>
  <c r="K92" i="31" s="1"/>
  <c r="L92" i="31" s="1"/>
  <c r="G92" i="31"/>
  <c r="D92" i="31"/>
  <c r="C92" i="31"/>
  <c r="J91" i="31"/>
  <c r="K91" i="31" s="1"/>
  <c r="L91" i="31" s="1"/>
  <c r="G91" i="31"/>
  <c r="D91" i="31"/>
  <c r="C91" i="31"/>
  <c r="J90" i="31"/>
  <c r="K90" i="31" s="1"/>
  <c r="L90" i="31" s="1"/>
  <c r="G90" i="31"/>
  <c r="D90" i="31"/>
  <c r="C90" i="31"/>
  <c r="J89" i="31"/>
  <c r="K89" i="31" s="1"/>
  <c r="L89" i="31" s="1"/>
  <c r="G89" i="31"/>
  <c r="D89" i="31"/>
  <c r="C89" i="31"/>
  <c r="J88" i="31"/>
  <c r="G88" i="31"/>
  <c r="D88" i="31"/>
  <c r="C88" i="31"/>
  <c r="J87" i="31"/>
  <c r="G87" i="31"/>
  <c r="D87" i="31"/>
  <c r="C87" i="31"/>
  <c r="J85" i="31"/>
  <c r="K85" i="31" s="1"/>
  <c r="L85" i="31" s="1"/>
  <c r="G85" i="31"/>
  <c r="D85" i="31"/>
  <c r="C85" i="31"/>
  <c r="J84" i="31"/>
  <c r="K84" i="31" s="1"/>
  <c r="L84" i="31" s="1"/>
  <c r="G84" i="31"/>
  <c r="D84" i="31"/>
  <c r="C84" i="31"/>
  <c r="J83" i="31"/>
  <c r="K83" i="31" s="1"/>
  <c r="L83" i="31" s="1"/>
  <c r="G83" i="31"/>
  <c r="D83" i="31"/>
  <c r="C83" i="31"/>
  <c r="J82" i="31"/>
  <c r="K82" i="31" s="1"/>
  <c r="L82" i="31" s="1"/>
  <c r="G82" i="31"/>
  <c r="D82" i="31"/>
  <c r="C82" i="31"/>
  <c r="J80" i="31"/>
  <c r="K80" i="31" s="1"/>
  <c r="L80" i="31" s="1"/>
  <c r="G80" i="31"/>
  <c r="D80" i="31"/>
  <c r="C80" i="31"/>
  <c r="J79" i="31"/>
  <c r="K79" i="31" s="1"/>
  <c r="L79" i="31" s="1"/>
  <c r="G79" i="31"/>
  <c r="D79" i="31"/>
  <c r="C79" i="31"/>
  <c r="J78" i="31"/>
  <c r="K78" i="31" s="1"/>
  <c r="L78" i="31" s="1"/>
  <c r="G78" i="31"/>
  <c r="D78" i="31"/>
  <c r="C78" i="31"/>
  <c r="J77" i="31"/>
  <c r="K77" i="31" s="1"/>
  <c r="L77" i="31" s="1"/>
  <c r="G77" i="31"/>
  <c r="D77" i="31"/>
  <c r="C77" i="31"/>
  <c r="J73" i="31"/>
  <c r="K73" i="31" s="1"/>
  <c r="L73" i="31" s="1"/>
  <c r="G73" i="31"/>
  <c r="D73" i="31"/>
  <c r="C73" i="31"/>
  <c r="J72" i="31"/>
  <c r="G72" i="31"/>
  <c r="D72" i="31"/>
  <c r="C72" i="31"/>
  <c r="J71" i="31"/>
  <c r="K71" i="31" s="1"/>
  <c r="L71" i="31" s="1"/>
  <c r="G71" i="31"/>
  <c r="D71" i="31"/>
  <c r="C71" i="31"/>
  <c r="J70" i="31"/>
  <c r="K70" i="31" s="1"/>
  <c r="L70" i="31" s="1"/>
  <c r="G70" i="31"/>
  <c r="D70" i="31"/>
  <c r="C70" i="31"/>
  <c r="J69" i="31"/>
  <c r="G69" i="31"/>
  <c r="D69" i="31"/>
  <c r="C69" i="31"/>
  <c r="J66" i="31"/>
  <c r="K66" i="31" s="1"/>
  <c r="L66" i="31" s="1"/>
  <c r="G66" i="31"/>
  <c r="D66" i="31"/>
  <c r="C66" i="31"/>
  <c r="J65" i="31"/>
  <c r="K65" i="31" s="1"/>
  <c r="L65" i="31" s="1"/>
  <c r="G65" i="31"/>
  <c r="D65" i="31"/>
  <c r="C65" i="31"/>
  <c r="J64" i="31"/>
  <c r="K64" i="31" s="1"/>
  <c r="L64" i="31" s="1"/>
  <c r="G64" i="31"/>
  <c r="D64" i="31"/>
  <c r="C64" i="31"/>
  <c r="J61" i="31"/>
  <c r="K61" i="31" s="1"/>
  <c r="L61" i="31" s="1"/>
  <c r="G61" i="31"/>
  <c r="D61" i="31"/>
  <c r="C61" i="31"/>
  <c r="J60" i="31"/>
  <c r="K60" i="31" s="1"/>
  <c r="L60" i="31" s="1"/>
  <c r="G60" i="31"/>
  <c r="D60" i="31"/>
  <c r="C60" i="31"/>
  <c r="J59" i="31"/>
  <c r="K59" i="31" s="1"/>
  <c r="L59" i="31" s="1"/>
  <c r="G59" i="31"/>
  <c r="D59" i="31"/>
  <c r="C59" i="31"/>
  <c r="J55" i="31"/>
  <c r="K55" i="31" s="1"/>
  <c r="L55" i="31" s="1"/>
  <c r="G55" i="31"/>
  <c r="D55" i="31"/>
  <c r="C55" i="31"/>
  <c r="J54" i="31"/>
  <c r="G54" i="31"/>
  <c r="D54" i="31"/>
  <c r="C54" i="31"/>
  <c r="J53" i="31"/>
  <c r="K53" i="31" s="1"/>
  <c r="L53" i="31" s="1"/>
  <c r="G53" i="31"/>
  <c r="D53" i="31"/>
  <c r="C53" i="31"/>
  <c r="J52" i="31"/>
  <c r="K52" i="31" s="1"/>
  <c r="L52" i="31" s="1"/>
  <c r="G52" i="31"/>
  <c r="D52" i="31"/>
  <c r="C52" i="31"/>
  <c r="J51" i="31"/>
  <c r="G51" i="31"/>
  <c r="D51" i="31"/>
  <c r="C51" i="31"/>
  <c r="J48" i="31"/>
  <c r="K48" i="31" s="1"/>
  <c r="L48" i="31" s="1"/>
  <c r="G48" i="31"/>
  <c r="D48" i="31"/>
  <c r="C48" i="31"/>
  <c r="J47" i="31"/>
  <c r="K47" i="31" s="1"/>
  <c r="L47" i="31" s="1"/>
  <c r="G47" i="31"/>
  <c r="D47" i="31"/>
  <c r="C47" i="31"/>
  <c r="J45" i="31"/>
  <c r="K45" i="31" s="1"/>
  <c r="L45" i="31" s="1"/>
  <c r="G45" i="31"/>
  <c r="D45" i="31"/>
  <c r="C45" i="31"/>
  <c r="J44" i="31"/>
  <c r="K44" i="31" s="1"/>
  <c r="L44" i="31" s="1"/>
  <c r="G44" i="31"/>
  <c r="D44" i="31"/>
  <c r="C44" i="31"/>
  <c r="J43" i="31"/>
  <c r="K43" i="31" s="1"/>
  <c r="L43" i="31" s="1"/>
  <c r="G43" i="31"/>
  <c r="D43" i="31"/>
  <c r="C43" i="31"/>
  <c r="J42" i="31"/>
  <c r="K42" i="31" s="1"/>
  <c r="L42" i="31" s="1"/>
  <c r="G42" i="31"/>
  <c r="D42" i="31"/>
  <c r="C42" i="31"/>
  <c r="J41" i="31"/>
  <c r="K41" i="31" s="1"/>
  <c r="L41" i="31" s="1"/>
  <c r="G41" i="31"/>
  <c r="D41" i="31"/>
  <c r="C41" i="31"/>
  <c r="J39" i="31"/>
  <c r="K39" i="31" s="1"/>
  <c r="L39" i="31" s="1"/>
  <c r="G39" i="31"/>
  <c r="D39" i="31"/>
  <c r="C39" i="31"/>
  <c r="J38" i="31"/>
  <c r="K38" i="31" s="1"/>
  <c r="L38" i="31" s="1"/>
  <c r="G38" i="31"/>
  <c r="D38" i="31"/>
  <c r="C38" i="31"/>
  <c r="J37" i="31"/>
  <c r="K37" i="31" s="1"/>
  <c r="L37" i="31" s="1"/>
  <c r="G37" i="31"/>
  <c r="D37" i="31"/>
  <c r="C37" i="31"/>
  <c r="J36" i="31"/>
  <c r="K36" i="31" s="1"/>
  <c r="L36" i="31" s="1"/>
  <c r="G36" i="31"/>
  <c r="D36" i="31"/>
  <c r="C36" i="31"/>
  <c r="J34" i="31"/>
  <c r="K34" i="31" s="1"/>
  <c r="L34" i="31" s="1"/>
  <c r="G34" i="31"/>
  <c r="D34" i="31"/>
  <c r="C34" i="31"/>
  <c r="J33" i="31"/>
  <c r="K33" i="31" s="1"/>
  <c r="L33" i="31" s="1"/>
  <c r="G33" i="31"/>
  <c r="D33" i="31"/>
  <c r="C33" i="31"/>
  <c r="J32" i="31"/>
  <c r="K32" i="31" s="1"/>
  <c r="L32" i="31" s="1"/>
  <c r="G32" i="31"/>
  <c r="D32" i="31"/>
  <c r="C32" i="31"/>
  <c r="J31" i="31"/>
  <c r="K31" i="31" s="1"/>
  <c r="L31" i="31" s="1"/>
  <c r="G31" i="31"/>
  <c r="D31" i="31"/>
  <c r="C31" i="31"/>
  <c r="J29" i="31"/>
  <c r="K29" i="31" s="1"/>
  <c r="L29" i="31" s="1"/>
  <c r="G29" i="31"/>
  <c r="D29" i="31"/>
  <c r="C29" i="31"/>
  <c r="J28" i="31"/>
  <c r="K28" i="31" s="1"/>
  <c r="L28" i="31" s="1"/>
  <c r="G28" i="31"/>
  <c r="D28" i="31"/>
  <c r="C28" i="31"/>
  <c r="J27" i="31"/>
  <c r="K27" i="31" s="1"/>
  <c r="L27" i="31" s="1"/>
  <c r="G27" i="31"/>
  <c r="D27" i="31"/>
  <c r="C27" i="31"/>
  <c r="J25" i="31"/>
  <c r="K25" i="31" s="1"/>
  <c r="L25" i="31" s="1"/>
  <c r="G25" i="31"/>
  <c r="D25" i="31"/>
  <c r="C25" i="31"/>
  <c r="J24" i="31"/>
  <c r="K24" i="31" s="1"/>
  <c r="L24" i="31" s="1"/>
  <c r="G24" i="31"/>
  <c r="D24" i="31"/>
  <c r="C24" i="31"/>
  <c r="J23" i="31"/>
  <c r="K23" i="31" s="1"/>
  <c r="L23" i="31" s="1"/>
  <c r="G23" i="31"/>
  <c r="D23" i="31"/>
  <c r="C23" i="31"/>
  <c r="J21" i="31"/>
  <c r="K21" i="31" s="1"/>
  <c r="L21" i="31" s="1"/>
  <c r="G21" i="31"/>
  <c r="D21" i="31"/>
  <c r="C21" i="31"/>
  <c r="J20" i="31"/>
  <c r="K20" i="31" s="1"/>
  <c r="L20" i="31" s="1"/>
  <c r="G20" i="31"/>
  <c r="D20" i="31"/>
  <c r="C20" i="31"/>
  <c r="J19" i="31"/>
  <c r="G19" i="31"/>
  <c r="D19" i="31"/>
  <c r="C19" i="31"/>
  <c r="J18" i="31"/>
  <c r="K18" i="31" s="1"/>
  <c r="L18" i="31" s="1"/>
  <c r="G18" i="31"/>
  <c r="D18" i="31"/>
  <c r="C18" i="31"/>
  <c r="J17" i="31"/>
  <c r="G17" i="31"/>
  <c r="D17" i="31"/>
  <c r="C17" i="31"/>
  <c r="J16" i="31"/>
  <c r="K16" i="31" s="1"/>
  <c r="L16" i="31" s="1"/>
  <c r="G16" i="31"/>
  <c r="D16" i="31"/>
  <c r="C16" i="31"/>
  <c r="J15" i="31"/>
  <c r="G15" i="31"/>
  <c r="D15" i="31"/>
  <c r="C15" i="31"/>
  <c r="J12" i="31"/>
  <c r="K12" i="31" s="1"/>
  <c r="L12" i="31" s="1"/>
  <c r="G12" i="31"/>
  <c r="D12" i="31"/>
  <c r="C12" i="31"/>
  <c r="J11" i="31"/>
  <c r="G11" i="31"/>
  <c r="D11" i="31"/>
  <c r="C11" i="31"/>
  <c r="J10" i="31"/>
  <c r="K10" i="31" s="1"/>
  <c r="L10" i="31" s="1"/>
  <c r="G10" i="31"/>
  <c r="D10" i="31"/>
  <c r="C10" i="31"/>
  <c r="J9" i="31"/>
  <c r="K9" i="31" s="1"/>
  <c r="L9" i="31" s="1"/>
  <c r="G9" i="31"/>
  <c r="D9" i="31"/>
  <c r="C9" i="31"/>
  <c r="R55" i="31" l="1"/>
  <c r="S55" i="31" s="1"/>
  <c r="R66" i="31"/>
  <c r="S66" i="31" s="1"/>
  <c r="R69" i="31"/>
  <c r="S69" i="31" s="1"/>
  <c r="R72" i="31"/>
  <c r="S72" i="31" s="1"/>
  <c r="R81" i="31"/>
  <c r="S81" i="31" s="1"/>
  <c r="R67" i="31"/>
  <c r="S67" i="31" s="1"/>
  <c r="R70" i="31"/>
  <c r="S70" i="31" s="1"/>
  <c r="R85" i="31"/>
  <c r="S85" i="31" s="1"/>
  <c r="R9" i="31"/>
  <c r="S9" i="31" s="1"/>
  <c r="R21" i="31"/>
  <c r="S21" i="31" s="1"/>
  <c r="R26" i="31"/>
  <c r="S26" i="31" s="1"/>
  <c r="K11" i="31"/>
  <c r="L11" i="31" s="1"/>
  <c r="K88" i="31"/>
  <c r="L88" i="31" s="1"/>
  <c r="K19" i="31"/>
  <c r="L19" i="31" s="1"/>
  <c r="K17" i="31"/>
  <c r="L17" i="31" s="1"/>
  <c r="K15" i="31"/>
  <c r="L15" i="31" s="1"/>
  <c r="K54" i="31"/>
  <c r="L54" i="31" s="1"/>
  <c r="K51" i="31"/>
  <c r="L51" i="31" s="1"/>
  <c r="K87" i="31"/>
  <c r="L87" i="31" s="1"/>
  <c r="K72" i="31"/>
  <c r="L72" i="31" s="1"/>
  <c r="K69" i="31"/>
  <c r="L69" i="31" s="1"/>
  <c r="X59" i="31"/>
  <c r="Y59" i="31" s="1"/>
  <c r="X27" i="31"/>
  <c r="Y27" i="31" s="1"/>
  <c r="X24" i="31"/>
  <c r="Y24" i="31" s="1"/>
  <c r="X23" i="31"/>
  <c r="Y23" i="31" s="1"/>
  <c r="U53" i="31"/>
  <c r="V53" i="31" s="1"/>
  <c r="X8" i="31"/>
  <c r="Y8" i="31" s="1"/>
  <c r="X51" i="31"/>
  <c r="Y51" i="31" s="1"/>
  <c r="X34" i="31"/>
  <c r="Y34" i="31" s="1"/>
  <c r="X49" i="31"/>
  <c r="Y49" i="31" s="1"/>
  <c r="X32" i="31"/>
  <c r="Y32" i="31" s="1"/>
  <c r="R64" i="31"/>
  <c r="S64" i="31" s="1"/>
  <c r="R59" i="31"/>
  <c r="S59" i="31" s="1"/>
  <c r="R58" i="31"/>
  <c r="S58" i="31" s="1"/>
  <c r="R34" i="31"/>
  <c r="S34" i="31" s="1"/>
  <c r="R83" i="31"/>
  <c r="S83" i="31" s="1"/>
  <c r="R74" i="31"/>
  <c r="S74" i="31" s="1"/>
  <c r="R17" i="31"/>
  <c r="S17" i="31" s="1"/>
  <c r="R41" i="31"/>
  <c r="S41" i="31" s="1"/>
  <c r="U57" i="31"/>
  <c r="V57" i="31" s="1"/>
  <c r="U71" i="31"/>
  <c r="V71" i="31" s="1"/>
  <c r="U80" i="31"/>
  <c r="V80" i="31" s="1"/>
  <c r="U83" i="31"/>
  <c r="V83" i="31" s="1"/>
  <c r="U86" i="31"/>
  <c r="V86" i="31" s="1"/>
  <c r="U92" i="31"/>
  <c r="V92" i="31" s="1"/>
  <c r="U10" i="31"/>
  <c r="V10" i="31" s="1"/>
  <c r="U13" i="31"/>
  <c r="V13" i="31" s="1"/>
  <c r="G109" i="31"/>
  <c r="U17" i="31"/>
  <c r="V17" i="31" s="1"/>
  <c r="U23" i="31"/>
  <c r="V23" i="31" s="1"/>
  <c r="U27" i="31"/>
  <c r="V27" i="31" s="1"/>
  <c r="U32" i="31"/>
  <c r="V32" i="31" s="1"/>
  <c r="U35" i="31"/>
  <c r="V35" i="31" s="1"/>
  <c r="U41" i="31"/>
  <c r="V41" i="31" s="1"/>
  <c r="U46" i="31"/>
  <c r="V46" i="31" s="1"/>
  <c r="U50" i="31"/>
  <c r="V50" i="31" s="1"/>
  <c r="X54" i="31"/>
  <c r="Y54" i="31" s="1"/>
  <c r="X57" i="31"/>
  <c r="Y57" i="31" s="1"/>
  <c r="X60" i="31"/>
  <c r="Y60" i="31" s="1"/>
  <c r="X65" i="31"/>
  <c r="Y65" i="31" s="1"/>
  <c r="X68" i="31"/>
  <c r="Y68" i="31" s="1"/>
  <c r="X71" i="31"/>
  <c r="Y71" i="31" s="1"/>
  <c r="X74" i="31"/>
  <c r="Y74" i="31" s="1"/>
  <c r="X77" i="31"/>
  <c r="Y77" i="31" s="1"/>
  <c r="X80" i="31"/>
  <c r="Y80" i="31" s="1"/>
  <c r="X83" i="31"/>
  <c r="Y83" i="31" s="1"/>
  <c r="X86" i="31"/>
  <c r="Y86" i="31" s="1"/>
  <c r="X89" i="31"/>
  <c r="Y89" i="31" s="1"/>
  <c r="X92" i="31"/>
  <c r="Y92" i="31" s="1"/>
  <c r="R60" i="31"/>
  <c r="S60" i="31" s="1"/>
  <c r="R89" i="31"/>
  <c r="S89" i="31" s="1"/>
  <c r="U89" i="31"/>
  <c r="V89" i="31" s="1"/>
  <c r="R92" i="31"/>
  <c r="S92" i="31" s="1"/>
  <c r="R23" i="31"/>
  <c r="S23" i="31" s="1"/>
  <c r="U65" i="31"/>
  <c r="V65" i="31" s="1"/>
  <c r="R90" i="31"/>
  <c r="S90" i="31" s="1"/>
  <c r="R93" i="31"/>
  <c r="S93" i="31" s="1"/>
  <c r="R86" i="31"/>
  <c r="S86" i="31" s="1"/>
  <c r="R10" i="31"/>
  <c r="S10" i="31" s="1"/>
  <c r="U60" i="31"/>
  <c r="V60" i="31" s="1"/>
  <c r="R8" i="31"/>
  <c r="S8" i="31" s="1"/>
  <c r="R11" i="31"/>
  <c r="S11" i="31" s="1"/>
  <c r="R14" i="31"/>
  <c r="S14" i="31" s="1"/>
  <c r="R18" i="31"/>
  <c r="S18" i="31" s="1"/>
  <c r="R24" i="31"/>
  <c r="S24" i="31" s="1"/>
  <c r="R29" i="31"/>
  <c r="S29" i="31" s="1"/>
  <c r="R33" i="31"/>
  <c r="S33" i="31" s="1"/>
  <c r="R36" i="31"/>
  <c r="S36" i="31" s="1"/>
  <c r="R42" i="31"/>
  <c r="S42" i="31" s="1"/>
  <c r="R47" i="31"/>
  <c r="S47" i="31" s="1"/>
  <c r="R51" i="31"/>
  <c r="S51" i="31" s="1"/>
  <c r="U55" i="31"/>
  <c r="V55" i="31" s="1"/>
  <c r="U58" i="31"/>
  <c r="V58" i="31" s="1"/>
  <c r="U62" i="31"/>
  <c r="V62" i="31" s="1"/>
  <c r="U66" i="31"/>
  <c r="V66" i="31" s="1"/>
  <c r="U69" i="31"/>
  <c r="V69" i="31" s="1"/>
  <c r="U72" i="31"/>
  <c r="V72" i="31" s="1"/>
  <c r="U75" i="31"/>
  <c r="V75" i="31" s="1"/>
  <c r="U78" i="31"/>
  <c r="V78" i="31" s="1"/>
  <c r="U81" i="31"/>
  <c r="V81" i="31" s="1"/>
  <c r="U84" i="31"/>
  <c r="V84" i="31" s="1"/>
  <c r="U87" i="31"/>
  <c r="V87" i="31" s="1"/>
  <c r="U90" i="31"/>
  <c r="V90" i="31" s="1"/>
  <c r="U93" i="31"/>
  <c r="V93" i="31" s="1"/>
  <c r="R71" i="31"/>
  <c r="S71" i="31" s="1"/>
  <c r="R46" i="31"/>
  <c r="S46" i="31" s="1"/>
  <c r="U8" i="31"/>
  <c r="V8" i="31" s="1"/>
  <c r="U11" i="31"/>
  <c r="V11" i="31" s="1"/>
  <c r="U14" i="31"/>
  <c r="V14" i="31" s="1"/>
  <c r="U18" i="31"/>
  <c r="V18" i="31" s="1"/>
  <c r="U24" i="31"/>
  <c r="V24" i="31" s="1"/>
  <c r="U29" i="31"/>
  <c r="V29" i="31" s="1"/>
  <c r="U33" i="31"/>
  <c r="V33" i="31" s="1"/>
  <c r="U36" i="31"/>
  <c r="V36" i="31" s="1"/>
  <c r="U42" i="31"/>
  <c r="V42" i="31" s="1"/>
  <c r="U47" i="31"/>
  <c r="V47" i="31" s="1"/>
  <c r="U51" i="31"/>
  <c r="V51" i="31" s="1"/>
  <c r="X55" i="31"/>
  <c r="Y55" i="31" s="1"/>
  <c r="X58" i="31"/>
  <c r="Y58" i="31" s="1"/>
  <c r="X62" i="31"/>
  <c r="Y62" i="31" s="1"/>
  <c r="X66" i="31"/>
  <c r="Y66" i="31" s="1"/>
  <c r="X69" i="31"/>
  <c r="Y69" i="31" s="1"/>
  <c r="X72" i="31"/>
  <c r="Y72" i="31" s="1"/>
  <c r="X75" i="31"/>
  <c r="Y75" i="31" s="1"/>
  <c r="X78" i="31"/>
  <c r="Y78" i="31" s="1"/>
  <c r="X81" i="31"/>
  <c r="Y81" i="31" s="1"/>
  <c r="X84" i="31"/>
  <c r="Y84" i="31" s="1"/>
  <c r="X87" i="31"/>
  <c r="Y87" i="31" s="1"/>
  <c r="X90" i="31"/>
  <c r="Y90" i="31" s="1"/>
  <c r="X93" i="31"/>
  <c r="Y93" i="31" s="1"/>
  <c r="R54" i="31"/>
  <c r="S54" i="31" s="1"/>
  <c r="R80" i="31"/>
  <c r="S80" i="31" s="1"/>
  <c r="R27" i="31"/>
  <c r="S27" i="31" s="1"/>
  <c r="U74" i="31"/>
  <c r="V74" i="31" s="1"/>
  <c r="R68" i="31"/>
  <c r="S68" i="31" s="1"/>
  <c r="R13" i="31"/>
  <c r="S13" i="31" s="1"/>
  <c r="R35" i="31"/>
  <c r="S35" i="31" s="1"/>
  <c r="U54" i="31"/>
  <c r="V54" i="31" s="1"/>
  <c r="U77" i="31"/>
  <c r="V77" i="31" s="1"/>
  <c r="R65" i="31"/>
  <c r="S65" i="31" s="1"/>
  <c r="R32" i="31"/>
  <c r="S32" i="31" s="1"/>
  <c r="U68" i="31"/>
  <c r="V68" i="31" s="1"/>
  <c r="R45" i="31"/>
  <c r="S45" i="31" s="1"/>
  <c r="R49" i="31"/>
  <c r="S49" i="31" s="1"/>
  <c r="R53" i="31"/>
  <c r="S53" i="31" s="1"/>
  <c r="U56" i="31"/>
  <c r="V56" i="31" s="1"/>
  <c r="U59" i="31"/>
  <c r="V59" i="31" s="1"/>
  <c r="U64" i="31"/>
  <c r="V64" i="31" s="1"/>
  <c r="U67" i="31"/>
  <c r="V67" i="31" s="1"/>
  <c r="U70" i="31"/>
  <c r="V70" i="31" s="1"/>
  <c r="U73" i="31"/>
  <c r="V73" i="31" s="1"/>
  <c r="R57" i="31"/>
  <c r="S57" i="31" s="1"/>
  <c r="R77" i="31"/>
  <c r="S77" i="31" s="1"/>
  <c r="R50" i="31"/>
  <c r="S50" i="31" s="1"/>
  <c r="U34" i="31"/>
  <c r="V34" i="31" s="1"/>
  <c r="X64" i="31"/>
  <c r="Y64" i="31" s="1"/>
  <c r="X67" i="31"/>
  <c r="Y67" i="31" s="1"/>
  <c r="X70" i="31"/>
  <c r="Y70" i="31" s="1"/>
  <c r="X73" i="31"/>
  <c r="Y73" i="31" s="1"/>
  <c r="X76" i="31"/>
  <c r="Y76" i="31" s="1"/>
  <c r="X79" i="31"/>
  <c r="Y79" i="31" s="1"/>
  <c r="X82" i="31"/>
  <c r="Y82" i="31" s="1"/>
  <c r="X85" i="31"/>
  <c r="Y85" i="31" s="1"/>
  <c r="X88" i="31"/>
  <c r="Y88" i="31" s="1"/>
  <c r="X91" i="31"/>
  <c r="Y91" i="31" s="1"/>
  <c r="H9" i="31"/>
  <c r="I9" i="31" s="1"/>
  <c r="H10" i="31"/>
  <c r="I10" i="31" s="1"/>
  <c r="H11" i="31"/>
  <c r="I11" i="31" s="1"/>
  <c r="H12" i="31"/>
  <c r="I12" i="31" s="1"/>
  <c r="H15" i="31"/>
  <c r="I15" i="31" s="1"/>
  <c r="H16" i="31"/>
  <c r="I16" i="31" s="1"/>
  <c r="H17" i="31"/>
  <c r="I17" i="31" s="1"/>
  <c r="H18" i="31"/>
  <c r="I18" i="31" s="1"/>
  <c r="H19" i="31"/>
  <c r="I19" i="31" s="1"/>
  <c r="H20" i="31"/>
  <c r="I20" i="31" s="1"/>
  <c r="H21" i="31"/>
  <c r="I21" i="31" s="1"/>
  <c r="H23" i="31"/>
  <c r="I23" i="31" s="1"/>
  <c r="H24" i="31"/>
  <c r="I24" i="31" s="1"/>
  <c r="H25" i="31"/>
  <c r="I25" i="31" s="1"/>
  <c r="H27" i="31"/>
  <c r="I27" i="31" s="1"/>
  <c r="H28" i="31"/>
  <c r="I28" i="31" s="1"/>
  <c r="H29" i="31"/>
  <c r="I29" i="31" s="1"/>
  <c r="H31" i="31"/>
  <c r="I31" i="31" s="1"/>
  <c r="H32" i="31"/>
  <c r="I32" i="31" s="1"/>
  <c r="H33" i="31"/>
  <c r="I33" i="31" s="1"/>
  <c r="H34" i="31"/>
  <c r="I34" i="31" s="1"/>
  <c r="H36" i="31"/>
  <c r="I36" i="31" s="1"/>
  <c r="H37" i="31"/>
  <c r="I37" i="31" s="1"/>
  <c r="H38" i="31"/>
  <c r="I38" i="31" s="1"/>
  <c r="H39" i="31"/>
  <c r="I39" i="31" s="1"/>
  <c r="H41" i="31"/>
  <c r="I41" i="31" s="1"/>
  <c r="H42" i="31"/>
  <c r="I42" i="31" s="1"/>
  <c r="H43" i="31"/>
  <c r="I43" i="31" s="1"/>
  <c r="H44" i="31"/>
  <c r="I44" i="31" s="1"/>
  <c r="H45" i="31"/>
  <c r="I45" i="31" s="1"/>
  <c r="H47" i="31"/>
  <c r="I47" i="31" s="1"/>
  <c r="H48" i="31"/>
  <c r="I48" i="31" s="1"/>
  <c r="H51" i="31"/>
  <c r="I51" i="31" s="1"/>
  <c r="H52" i="31"/>
  <c r="I52" i="31" s="1"/>
  <c r="H53" i="31"/>
  <c r="I53" i="31" s="1"/>
  <c r="H54" i="31"/>
  <c r="I54" i="31" s="1"/>
  <c r="H55" i="31"/>
  <c r="I55" i="31" s="1"/>
  <c r="H59" i="31"/>
  <c r="I59" i="31" s="1"/>
  <c r="H60" i="31"/>
  <c r="I60" i="31" s="1"/>
  <c r="H61" i="31"/>
  <c r="I61" i="31" s="1"/>
  <c r="H64" i="31"/>
  <c r="I64" i="31" s="1"/>
  <c r="H65" i="31"/>
  <c r="I65" i="31" s="1"/>
  <c r="H66" i="31"/>
  <c r="I66" i="31" s="1"/>
  <c r="H69" i="31"/>
  <c r="I69" i="31" s="1"/>
  <c r="H70" i="31"/>
  <c r="I70" i="31" s="1"/>
  <c r="H71" i="31"/>
  <c r="I71" i="31" s="1"/>
  <c r="H72" i="31"/>
  <c r="I72" i="31" s="1"/>
  <c r="H73" i="31"/>
  <c r="I73" i="31" s="1"/>
  <c r="H77" i="31"/>
  <c r="I77" i="31" s="1"/>
  <c r="H78" i="31"/>
  <c r="I78" i="31" s="1"/>
  <c r="H79" i="31"/>
  <c r="I79" i="31" s="1"/>
  <c r="H80" i="31"/>
  <c r="I80" i="31" s="1"/>
  <c r="H82" i="31"/>
  <c r="I82" i="31" s="1"/>
  <c r="H83" i="31"/>
  <c r="I83" i="31" s="1"/>
  <c r="H84" i="31"/>
  <c r="I84" i="31" s="1"/>
  <c r="H85" i="31"/>
  <c r="I85" i="31" s="1"/>
  <c r="H87" i="31"/>
  <c r="I87" i="31" s="1"/>
  <c r="H88" i="31"/>
  <c r="I88" i="31" s="1"/>
  <c r="H89" i="31"/>
  <c r="I89" i="31" s="1"/>
  <c r="H90" i="31"/>
  <c r="I90" i="31" s="1"/>
  <c r="H91" i="31"/>
  <c r="I91" i="31" s="1"/>
  <c r="H92" i="31"/>
  <c r="I92" i="31" s="1"/>
  <c r="H93" i="31"/>
  <c r="I93" i="31" s="1"/>
  <c r="E9" i="31"/>
  <c r="F9" i="31" s="1"/>
  <c r="E10" i="31"/>
  <c r="F10" i="31" s="1"/>
  <c r="E11" i="31"/>
  <c r="F11" i="31" s="1"/>
  <c r="E12" i="31"/>
  <c r="F12" i="31" s="1"/>
  <c r="E15" i="31"/>
  <c r="F15" i="31" s="1"/>
  <c r="E16" i="31"/>
  <c r="F16" i="31" s="1"/>
  <c r="E17" i="31"/>
  <c r="F17" i="31" s="1"/>
  <c r="E18" i="31"/>
  <c r="F18" i="31" s="1"/>
  <c r="E19" i="31"/>
  <c r="F19" i="31" s="1"/>
  <c r="E20" i="31"/>
  <c r="F20" i="31" s="1"/>
  <c r="E21" i="31"/>
  <c r="F21" i="31" s="1"/>
  <c r="E23" i="31"/>
  <c r="F23" i="31" s="1"/>
  <c r="E24" i="31"/>
  <c r="F24" i="31" s="1"/>
  <c r="E25" i="31"/>
  <c r="F25" i="31" s="1"/>
  <c r="E27" i="31"/>
  <c r="F27" i="31" s="1"/>
  <c r="E28" i="31"/>
  <c r="F28" i="31" s="1"/>
  <c r="E29" i="31"/>
  <c r="F29" i="31" s="1"/>
  <c r="E31" i="31"/>
  <c r="F31" i="31" s="1"/>
  <c r="E32" i="31"/>
  <c r="F32" i="31" s="1"/>
  <c r="E33" i="31"/>
  <c r="F33" i="31" s="1"/>
  <c r="E34" i="31"/>
  <c r="F34" i="31" s="1"/>
  <c r="E36" i="31"/>
  <c r="F36" i="31" s="1"/>
  <c r="E37" i="31"/>
  <c r="F37" i="31" s="1"/>
  <c r="E38" i="31"/>
  <c r="F38" i="31" s="1"/>
  <c r="E39" i="31"/>
  <c r="F39" i="31" s="1"/>
  <c r="E41" i="31"/>
  <c r="F41" i="31" s="1"/>
  <c r="E42" i="31"/>
  <c r="F42" i="31" s="1"/>
  <c r="E43" i="31"/>
  <c r="F43" i="31" s="1"/>
  <c r="E44" i="31"/>
  <c r="F44" i="31" s="1"/>
  <c r="E45" i="31"/>
  <c r="F45" i="31" s="1"/>
  <c r="E47" i="31"/>
  <c r="F47" i="31" s="1"/>
  <c r="E48" i="31"/>
  <c r="F48" i="31" s="1"/>
  <c r="E51" i="31"/>
  <c r="F51" i="31" s="1"/>
  <c r="E52" i="31"/>
  <c r="F52" i="31" s="1"/>
  <c r="E53" i="31"/>
  <c r="F53" i="31" s="1"/>
  <c r="E54" i="31"/>
  <c r="F54" i="31" s="1"/>
  <c r="E55" i="31"/>
  <c r="F55" i="31" s="1"/>
  <c r="E59" i="31"/>
  <c r="F59" i="31" s="1"/>
  <c r="E60" i="31"/>
  <c r="F60" i="31" s="1"/>
  <c r="E61" i="31"/>
  <c r="F61" i="31" s="1"/>
  <c r="E64" i="31"/>
  <c r="F64" i="31" s="1"/>
  <c r="E65" i="31"/>
  <c r="F65" i="31" s="1"/>
  <c r="E66" i="31"/>
  <c r="F66" i="31" s="1"/>
  <c r="E69" i="31"/>
  <c r="F69" i="31" s="1"/>
  <c r="E70" i="31"/>
  <c r="F70" i="31" s="1"/>
  <c r="E71" i="31"/>
  <c r="F71" i="31" s="1"/>
  <c r="E72" i="31"/>
  <c r="F72" i="31" s="1"/>
  <c r="E73" i="31"/>
  <c r="F73" i="31" s="1"/>
  <c r="E77" i="31"/>
  <c r="F77" i="31" s="1"/>
  <c r="E78" i="31"/>
  <c r="F78" i="31" s="1"/>
  <c r="E79" i="31"/>
  <c r="F79" i="31" s="1"/>
  <c r="E80" i="31"/>
  <c r="F80" i="31" s="1"/>
  <c r="E82" i="31"/>
  <c r="F82" i="31" s="1"/>
  <c r="E83" i="31"/>
  <c r="F83" i="31" s="1"/>
  <c r="E84" i="31"/>
  <c r="F84" i="31" s="1"/>
  <c r="E85" i="31"/>
  <c r="F85" i="31" s="1"/>
  <c r="E87" i="31"/>
  <c r="F87" i="31" s="1"/>
  <c r="E88" i="31"/>
  <c r="F88" i="31" s="1"/>
  <c r="E89" i="31"/>
  <c r="F89" i="31" s="1"/>
  <c r="E90" i="31"/>
  <c r="F90" i="31" s="1"/>
  <c r="E91" i="31"/>
  <c r="F91" i="31" s="1"/>
  <c r="E92" i="31"/>
  <c r="F92" i="31" s="1"/>
  <c r="E93" i="31"/>
  <c r="F93" i="31" s="1"/>
  <c r="E38" i="32"/>
  <c r="F38" i="32" s="1"/>
  <c r="E42" i="32"/>
  <c r="F42" i="32" s="1"/>
  <c r="E36" i="32"/>
  <c r="F36" i="32" s="1"/>
  <c r="H31" i="32"/>
  <c r="I31" i="32" s="1"/>
  <c r="H15" i="32"/>
  <c r="I15" i="32" s="1"/>
  <c r="K8" i="32"/>
  <c r="L8" i="32" s="1"/>
  <c r="K10" i="32"/>
  <c r="L10" i="32" s="1"/>
  <c r="K56" i="32"/>
  <c r="L56" i="32" s="1"/>
  <c r="E50" i="32"/>
  <c r="F50" i="32" s="1"/>
  <c r="E46" i="32"/>
  <c r="F46" i="32" s="1"/>
  <c r="E26" i="32"/>
  <c r="F26" i="32" s="1"/>
  <c r="E28" i="32"/>
  <c r="F28" i="32" s="1"/>
  <c r="E18" i="32"/>
  <c r="F18" i="32" s="1"/>
  <c r="E20" i="32"/>
  <c r="F20" i="32" s="1"/>
  <c r="E16" i="32"/>
  <c r="F16" i="32" s="1"/>
  <c r="E10" i="32"/>
  <c r="F10" i="32" s="1"/>
  <c r="J109" i="31"/>
  <c r="H9" i="32"/>
  <c r="I9" i="32" s="1"/>
  <c r="E14" i="32"/>
  <c r="F14" i="32" s="1"/>
  <c r="K16" i="32"/>
  <c r="L16" i="32" s="1"/>
  <c r="K20" i="32"/>
  <c r="L20" i="32" s="1"/>
  <c r="E22" i="32"/>
  <c r="F22" i="32" s="1"/>
  <c r="E32" i="32"/>
  <c r="F32" i="32" s="1"/>
  <c r="K38" i="32"/>
  <c r="L38" i="32" s="1"/>
  <c r="H41" i="32"/>
  <c r="I41" i="32" s="1"/>
  <c r="H45" i="32"/>
  <c r="I45" i="32" s="1"/>
  <c r="H49" i="32"/>
  <c r="I49" i="32" s="1"/>
  <c r="E8" i="32"/>
  <c r="F8" i="32" s="1"/>
  <c r="K14" i="32"/>
  <c r="L14" i="32" s="1"/>
  <c r="K22" i="32"/>
  <c r="L22" i="32" s="1"/>
  <c r="K32" i="32"/>
  <c r="L32" i="32" s="1"/>
  <c r="E40" i="32"/>
  <c r="F40" i="32" s="1"/>
  <c r="E44" i="32"/>
  <c r="F44" i="32" s="1"/>
  <c r="E48" i="32"/>
  <c r="F48" i="32" s="1"/>
  <c r="K9" i="32"/>
  <c r="L9" i="32" s="1"/>
  <c r="E12" i="32"/>
  <c r="F12" i="32" s="1"/>
  <c r="K36" i="32"/>
  <c r="L36" i="32" s="1"/>
  <c r="H43" i="32"/>
  <c r="I43" i="32" s="1"/>
  <c r="E52" i="32"/>
  <c r="F52" i="32" s="1"/>
  <c r="E56" i="32"/>
  <c r="F56" i="32" s="1"/>
  <c r="D109" i="31"/>
  <c r="H33" i="32"/>
  <c r="I33" i="32" s="1"/>
  <c r="K48" i="32"/>
  <c r="L48" i="32" s="1"/>
  <c r="H55" i="32"/>
  <c r="I55" i="32" s="1"/>
  <c r="K21" i="32"/>
  <c r="L21" i="32" s="1"/>
  <c r="H21" i="32"/>
  <c r="I21" i="32" s="1"/>
  <c r="H8" i="32"/>
  <c r="I8" i="32" s="1"/>
  <c r="E11" i="32"/>
  <c r="F11" i="32" s="1"/>
  <c r="H12" i="32"/>
  <c r="I12" i="32" s="1"/>
  <c r="E15" i="32"/>
  <c r="F15" i="32" s="1"/>
  <c r="H16" i="32"/>
  <c r="I16" i="32" s="1"/>
  <c r="E19" i="32"/>
  <c r="F19" i="32" s="1"/>
  <c r="H20" i="32"/>
  <c r="I20" i="32" s="1"/>
  <c r="E23" i="32"/>
  <c r="F23" i="32" s="1"/>
  <c r="E27" i="32"/>
  <c r="F27" i="32" s="1"/>
  <c r="H28" i="32"/>
  <c r="I28" i="32" s="1"/>
  <c r="E31" i="32"/>
  <c r="F31" i="32" s="1"/>
  <c r="H32" i="32"/>
  <c r="I32" i="32" s="1"/>
  <c r="H36" i="32"/>
  <c r="I36" i="32" s="1"/>
  <c r="E39" i="32"/>
  <c r="F39" i="32" s="1"/>
  <c r="H40" i="32"/>
  <c r="I40" i="32" s="1"/>
  <c r="E43" i="32"/>
  <c r="F43" i="32" s="1"/>
  <c r="H44" i="32"/>
  <c r="I44" i="32" s="1"/>
  <c r="H48" i="32"/>
  <c r="I48" i="32" s="1"/>
  <c r="E51" i="32"/>
  <c r="F51" i="32" s="1"/>
  <c r="H52" i="32"/>
  <c r="I52" i="32" s="1"/>
  <c r="E55" i="32"/>
  <c r="F55" i="32" s="1"/>
  <c r="H56" i="32"/>
  <c r="I56" i="32" s="1"/>
  <c r="E9" i="32"/>
  <c r="F9" i="32" s="1"/>
  <c r="H10" i="32"/>
  <c r="I10" i="32" s="1"/>
  <c r="H14" i="32"/>
  <c r="I14" i="32" s="1"/>
  <c r="E17" i="32"/>
  <c r="F17" i="32" s="1"/>
  <c r="H18" i="32"/>
  <c r="I18" i="32" s="1"/>
  <c r="E21" i="32"/>
  <c r="F21" i="32" s="1"/>
  <c r="H22" i="32"/>
  <c r="I22" i="32" s="1"/>
  <c r="H26" i="32"/>
  <c r="I26" i="32" s="1"/>
  <c r="E29" i="32"/>
  <c r="F29" i="32" s="1"/>
  <c r="E33" i="32"/>
  <c r="F33" i="32" s="1"/>
  <c r="E37" i="32"/>
  <c r="F37" i="32" s="1"/>
  <c r="H38" i="32"/>
  <c r="I38" i="32" s="1"/>
  <c r="E41" i="32"/>
  <c r="F41" i="32" s="1"/>
  <c r="H42" i="32"/>
  <c r="I42" i="32" s="1"/>
  <c r="E45" i="32"/>
  <c r="F45" i="32" s="1"/>
  <c r="H46" i="32"/>
  <c r="I46" i="32" s="1"/>
  <c r="E49" i="32"/>
  <c r="F49" i="32" s="1"/>
  <c r="H50" i="32"/>
  <c r="I50" i="32" s="1"/>
  <c r="E53" i="32"/>
  <c r="F53" i="32" s="1"/>
  <c r="W53" i="31" l="1"/>
  <c r="X53" i="31" s="1"/>
  <c r="Y53" i="31" s="1"/>
  <c r="K24" i="28" l="1"/>
  <c r="D12" i="28"/>
  <c r="P16" i="31" l="1"/>
  <c r="D26" i="2"/>
  <c r="C26" i="26" l="1"/>
  <c r="C5" i="33"/>
  <c r="D25" i="32"/>
  <c r="B6" i="33"/>
  <c r="N6" i="33" s="1"/>
  <c r="D15" i="35" s="1"/>
  <c r="C35" i="32"/>
  <c r="B5" i="33"/>
  <c r="N5" i="33" s="1"/>
  <c r="D14" i="35" s="1"/>
  <c r="C25" i="32"/>
  <c r="C105" i="31" s="1"/>
  <c r="F5" i="33"/>
  <c r="G105" i="31"/>
  <c r="I5" i="33"/>
  <c r="J25" i="32"/>
  <c r="F10" i="33"/>
  <c r="E18" i="30"/>
  <c r="E13" i="30"/>
  <c r="E31" i="30"/>
  <c r="E43" i="30"/>
  <c r="E54" i="30"/>
  <c r="E49" i="30"/>
  <c r="E38" i="30"/>
  <c r="E25" i="30"/>
  <c r="C57" i="2"/>
  <c r="C56" i="2"/>
  <c r="C54" i="2"/>
  <c r="C53" i="2"/>
  <c r="C52" i="2"/>
  <c r="C51" i="2"/>
  <c r="C50" i="2"/>
  <c r="C49" i="2"/>
  <c r="C47" i="2"/>
  <c r="C46" i="2"/>
  <c r="C45" i="2"/>
  <c r="C44" i="2"/>
  <c r="C43" i="2"/>
  <c r="C42" i="2"/>
  <c r="C41" i="2"/>
  <c r="C40" i="2"/>
  <c r="C39" i="2"/>
  <c r="C38" i="2"/>
  <c r="C37" i="2"/>
  <c r="C34" i="2"/>
  <c r="C33" i="2"/>
  <c r="C32" i="2"/>
  <c r="C30" i="2"/>
  <c r="C29" i="2"/>
  <c r="C28" i="2"/>
  <c r="C27" i="2"/>
  <c r="C24" i="2"/>
  <c r="C23" i="2"/>
  <c r="C22" i="2"/>
  <c r="C21" i="2"/>
  <c r="C20" i="2"/>
  <c r="C19" i="2"/>
  <c r="C18" i="2"/>
  <c r="C17" i="2"/>
  <c r="C16" i="2"/>
  <c r="C15" i="2"/>
  <c r="C13" i="2"/>
  <c r="C12" i="2"/>
  <c r="C11" i="2"/>
  <c r="C10" i="2"/>
  <c r="C9" i="2"/>
  <c r="J66" i="1"/>
  <c r="J65" i="1"/>
  <c r="J63" i="1"/>
  <c r="J61" i="1"/>
  <c r="J60" i="1"/>
  <c r="J59" i="1"/>
  <c r="J58" i="1"/>
  <c r="J57" i="1"/>
  <c r="J56" i="1"/>
  <c r="J55" i="1"/>
  <c r="J54" i="1"/>
  <c r="J52" i="1"/>
  <c r="J51" i="1"/>
  <c r="J50" i="1"/>
  <c r="J48" i="1"/>
  <c r="J47" i="1"/>
  <c r="J46" i="1"/>
  <c r="J43" i="1"/>
  <c r="J42" i="1"/>
  <c r="J41" i="1"/>
  <c r="J37" i="1"/>
  <c r="J36" i="1"/>
  <c r="J35" i="1"/>
  <c r="J34" i="1"/>
  <c r="J33" i="1"/>
  <c r="J31" i="1"/>
  <c r="J30" i="1"/>
  <c r="J28" i="1"/>
  <c r="J27" i="1"/>
  <c r="J25" i="1"/>
  <c r="J24" i="1"/>
  <c r="J22" i="1"/>
  <c r="J19" i="1"/>
  <c r="J18" i="1"/>
  <c r="J16" i="1"/>
  <c r="J15" i="1"/>
  <c r="J14" i="1"/>
  <c r="J13" i="1"/>
  <c r="J12" i="1"/>
  <c r="J11" i="1"/>
  <c r="J10" i="1"/>
  <c r="J9" i="1"/>
  <c r="C94" i="1"/>
  <c r="C93" i="1"/>
  <c r="C92" i="1"/>
  <c r="C91" i="1"/>
  <c r="C90" i="1"/>
  <c r="C89" i="1"/>
  <c r="C88" i="1"/>
  <c r="C86" i="1"/>
  <c r="C85" i="1"/>
  <c r="C84" i="1"/>
  <c r="C83" i="1"/>
  <c r="C81" i="1"/>
  <c r="C80" i="1"/>
  <c r="C79" i="1"/>
  <c r="C78" i="1"/>
  <c r="C74" i="1"/>
  <c r="C73" i="1"/>
  <c r="C72" i="1"/>
  <c r="C71" i="1"/>
  <c r="C70" i="1"/>
  <c r="C67" i="1"/>
  <c r="C66" i="1"/>
  <c r="C65" i="1"/>
  <c r="C62" i="1"/>
  <c r="C61" i="1"/>
  <c r="C60" i="1"/>
  <c r="C56" i="1"/>
  <c r="C55" i="1"/>
  <c r="C54" i="1"/>
  <c r="C53" i="1"/>
  <c r="C52" i="1"/>
  <c r="C49" i="1"/>
  <c r="C48" i="1"/>
  <c r="C46" i="1"/>
  <c r="C45" i="1"/>
  <c r="C44" i="1"/>
  <c r="C43" i="1"/>
  <c r="C42" i="1"/>
  <c r="C40" i="1"/>
  <c r="C39" i="1"/>
  <c r="C38" i="1"/>
  <c r="C37" i="1"/>
  <c r="C35" i="1"/>
  <c r="C34" i="1"/>
  <c r="C33" i="1"/>
  <c r="C32" i="1"/>
  <c r="C30" i="1"/>
  <c r="C29" i="1"/>
  <c r="C28" i="1"/>
  <c r="C26" i="1"/>
  <c r="C25" i="1"/>
  <c r="C24" i="1"/>
  <c r="C22" i="1"/>
  <c r="C21" i="1"/>
  <c r="C20" i="1"/>
  <c r="C19" i="1"/>
  <c r="C18" i="1"/>
  <c r="C17" i="1"/>
  <c r="C16" i="1"/>
  <c r="C13" i="1"/>
  <c r="C12" i="1"/>
  <c r="C11" i="1"/>
  <c r="C10" i="1"/>
  <c r="C57" i="26"/>
  <c r="C56" i="26"/>
  <c r="C54" i="26"/>
  <c r="C53" i="26"/>
  <c r="C52" i="26"/>
  <c r="C51" i="26"/>
  <c r="C50" i="26"/>
  <c r="C49" i="26"/>
  <c r="C47" i="26"/>
  <c r="C46" i="26"/>
  <c r="C45" i="26"/>
  <c r="C44" i="26"/>
  <c r="C43" i="26"/>
  <c r="C42" i="26"/>
  <c r="C41" i="26"/>
  <c r="C40" i="26"/>
  <c r="C39" i="26"/>
  <c r="C38" i="26"/>
  <c r="C37" i="26"/>
  <c r="C34" i="26"/>
  <c r="C33" i="26"/>
  <c r="C32" i="26"/>
  <c r="C30" i="26"/>
  <c r="C29" i="26"/>
  <c r="C28" i="26"/>
  <c r="C27" i="26"/>
  <c r="C24" i="26"/>
  <c r="C23" i="26"/>
  <c r="C22" i="26"/>
  <c r="C21" i="26"/>
  <c r="C20" i="26"/>
  <c r="C19" i="26"/>
  <c r="C18" i="26"/>
  <c r="C17" i="26"/>
  <c r="C16" i="26"/>
  <c r="C15" i="26"/>
  <c r="C13" i="26"/>
  <c r="C12" i="26"/>
  <c r="C11" i="26"/>
  <c r="C10" i="26"/>
  <c r="C9" i="26"/>
  <c r="J66" i="25"/>
  <c r="J65" i="25"/>
  <c r="J63" i="25"/>
  <c r="J61" i="25"/>
  <c r="J60" i="25"/>
  <c r="J59" i="25"/>
  <c r="J58" i="25"/>
  <c r="J57" i="25"/>
  <c r="J56" i="25"/>
  <c r="J55" i="25"/>
  <c r="J54" i="25"/>
  <c r="J52" i="25"/>
  <c r="J51" i="25"/>
  <c r="J50" i="25"/>
  <c r="J48" i="25"/>
  <c r="J47" i="25"/>
  <c r="J46" i="25"/>
  <c r="J43" i="25"/>
  <c r="J42" i="25"/>
  <c r="J41" i="25"/>
  <c r="J37" i="25"/>
  <c r="J36" i="25"/>
  <c r="J35" i="25"/>
  <c r="J34" i="25"/>
  <c r="J33" i="25"/>
  <c r="J31" i="25"/>
  <c r="J30" i="25"/>
  <c r="J28" i="25"/>
  <c r="J27" i="25"/>
  <c r="J25" i="25"/>
  <c r="J24" i="25"/>
  <c r="J22" i="25"/>
  <c r="J19" i="25"/>
  <c r="J18" i="25"/>
  <c r="J16" i="25"/>
  <c r="J15" i="25"/>
  <c r="J14" i="25"/>
  <c r="J13" i="25"/>
  <c r="J12" i="25"/>
  <c r="J11" i="25"/>
  <c r="J10" i="25"/>
  <c r="J9" i="25"/>
  <c r="C94" i="25"/>
  <c r="C93" i="25"/>
  <c r="C92" i="25"/>
  <c r="C91" i="25"/>
  <c r="C90" i="25"/>
  <c r="C89" i="25"/>
  <c r="C88" i="25"/>
  <c r="C86" i="25"/>
  <c r="C85" i="25"/>
  <c r="C84" i="25"/>
  <c r="C83" i="25"/>
  <c r="C81" i="25"/>
  <c r="C80" i="25"/>
  <c r="C79" i="25"/>
  <c r="C78" i="25"/>
  <c r="C74" i="25"/>
  <c r="C73" i="25"/>
  <c r="C72" i="25"/>
  <c r="C71" i="25"/>
  <c r="C70" i="25"/>
  <c r="C67" i="25"/>
  <c r="C66" i="25"/>
  <c r="C65" i="25"/>
  <c r="C62" i="25"/>
  <c r="C61" i="25"/>
  <c r="C60" i="25"/>
  <c r="C56" i="25"/>
  <c r="C55" i="25"/>
  <c r="C54" i="25"/>
  <c r="C53" i="25"/>
  <c r="C57" i="23"/>
  <c r="C56" i="23"/>
  <c r="C54" i="23"/>
  <c r="C53" i="23"/>
  <c r="C52" i="23"/>
  <c r="C51" i="23"/>
  <c r="C50" i="23"/>
  <c r="C49" i="23"/>
  <c r="C47" i="23"/>
  <c r="C46" i="23"/>
  <c r="C45" i="23"/>
  <c r="C44" i="23"/>
  <c r="C43" i="23"/>
  <c r="C42" i="23"/>
  <c r="C41" i="23"/>
  <c r="C40" i="23"/>
  <c r="C39" i="23"/>
  <c r="C38" i="23"/>
  <c r="C37" i="23"/>
  <c r="C34" i="23"/>
  <c r="C33" i="23"/>
  <c r="C32" i="23"/>
  <c r="C30" i="23"/>
  <c r="C29" i="23"/>
  <c r="C28" i="23"/>
  <c r="C27" i="23"/>
  <c r="C24" i="23"/>
  <c r="C23" i="23"/>
  <c r="C22" i="23"/>
  <c r="C21" i="23"/>
  <c r="C20" i="23"/>
  <c r="C19" i="23"/>
  <c r="C18" i="23"/>
  <c r="C17" i="23"/>
  <c r="C16" i="23"/>
  <c r="C15" i="23"/>
  <c r="C13" i="23"/>
  <c r="C12" i="23"/>
  <c r="C11" i="23"/>
  <c r="C10" i="23"/>
  <c r="C9" i="23"/>
  <c r="J66" i="22"/>
  <c r="J65" i="22"/>
  <c r="J63" i="22"/>
  <c r="J61" i="22"/>
  <c r="J60" i="22"/>
  <c r="J59" i="22"/>
  <c r="J58" i="22"/>
  <c r="J57" i="22"/>
  <c r="J56" i="22"/>
  <c r="J55" i="22"/>
  <c r="J54" i="22"/>
  <c r="J52" i="22"/>
  <c r="J51" i="22"/>
  <c r="J50" i="22"/>
  <c r="J48" i="22"/>
  <c r="J47" i="22"/>
  <c r="J46" i="22"/>
  <c r="J43" i="22"/>
  <c r="J42" i="22"/>
  <c r="J41" i="22"/>
  <c r="J37" i="22"/>
  <c r="J36" i="22"/>
  <c r="J35" i="22"/>
  <c r="J34" i="22"/>
  <c r="J33" i="22"/>
  <c r="J31" i="22"/>
  <c r="J30" i="22"/>
  <c r="J28" i="22"/>
  <c r="J27" i="22"/>
  <c r="J25" i="22"/>
  <c r="J24" i="22"/>
  <c r="J22" i="22"/>
  <c r="J19" i="22"/>
  <c r="J18" i="22"/>
  <c r="J17" i="22"/>
  <c r="J16" i="22"/>
  <c r="J15" i="22"/>
  <c r="J14" i="22"/>
  <c r="J13" i="22"/>
  <c r="J12" i="22"/>
  <c r="J11" i="22"/>
  <c r="J10" i="22"/>
  <c r="J9" i="22"/>
  <c r="C94" i="22"/>
  <c r="C93" i="22"/>
  <c r="C92" i="22"/>
  <c r="C91" i="22"/>
  <c r="C90" i="22"/>
  <c r="C89" i="22"/>
  <c r="C88" i="22"/>
  <c r="C86" i="22"/>
  <c r="C85" i="22"/>
  <c r="C84" i="22"/>
  <c r="C83" i="22"/>
  <c r="C81" i="22"/>
  <c r="C80" i="22"/>
  <c r="C79" i="22"/>
  <c r="C78" i="22"/>
  <c r="C74" i="22"/>
  <c r="C73" i="22"/>
  <c r="C72" i="22"/>
  <c r="C71" i="22"/>
  <c r="C70" i="22"/>
  <c r="C67" i="22"/>
  <c r="C66" i="22"/>
  <c r="C65" i="22"/>
  <c r="C62" i="22"/>
  <c r="C61" i="22"/>
  <c r="C60" i="22"/>
  <c r="C56" i="22"/>
  <c r="C55" i="22"/>
  <c r="C54" i="22"/>
  <c r="C53" i="22"/>
  <c r="C52" i="22"/>
  <c r="C49" i="22"/>
  <c r="C48" i="22"/>
  <c r="C46" i="22"/>
  <c r="C45" i="22"/>
  <c r="C44" i="22"/>
  <c r="C43" i="22"/>
  <c r="C42" i="22"/>
  <c r="C40" i="22"/>
  <c r="C39" i="22"/>
  <c r="C38" i="22"/>
  <c r="C37" i="22"/>
  <c r="C35" i="22"/>
  <c r="C34" i="22"/>
  <c r="C33" i="22"/>
  <c r="C32" i="22"/>
  <c r="C30" i="22"/>
  <c r="C29" i="22"/>
  <c r="C28" i="22"/>
  <c r="C26" i="22"/>
  <c r="C25" i="22"/>
  <c r="C24" i="22"/>
  <c r="C22" i="22"/>
  <c r="C21" i="22"/>
  <c r="C20" i="22"/>
  <c r="C19" i="22"/>
  <c r="C18" i="22"/>
  <c r="C17" i="22"/>
  <c r="C16" i="22"/>
  <c r="C13" i="22"/>
  <c r="C12" i="22"/>
  <c r="C11" i="22"/>
  <c r="C10" i="22"/>
  <c r="E57" i="29"/>
  <c r="F57" i="29" s="1"/>
  <c r="E56" i="29"/>
  <c r="F56" i="29" s="1"/>
  <c r="E54" i="29"/>
  <c r="F54" i="29" s="1"/>
  <c r="E53" i="29"/>
  <c r="F53" i="29" s="1"/>
  <c r="E52" i="29"/>
  <c r="F52" i="29" s="1"/>
  <c r="E51" i="29"/>
  <c r="F51" i="29" s="1"/>
  <c r="E50" i="29"/>
  <c r="F50" i="29" s="1"/>
  <c r="E49" i="29"/>
  <c r="F49" i="29" s="1"/>
  <c r="E47" i="29"/>
  <c r="F47" i="29" s="1"/>
  <c r="E46" i="29"/>
  <c r="F46" i="29" s="1"/>
  <c r="E45" i="29"/>
  <c r="F45" i="29" s="1"/>
  <c r="E44" i="29"/>
  <c r="F44" i="29" s="1"/>
  <c r="E43" i="29"/>
  <c r="F43" i="29" s="1"/>
  <c r="E42" i="29"/>
  <c r="F42" i="29" s="1"/>
  <c r="E41" i="29"/>
  <c r="F41" i="29" s="1"/>
  <c r="E40" i="29"/>
  <c r="F40" i="29" s="1"/>
  <c r="E39" i="29"/>
  <c r="F39" i="29" s="1"/>
  <c r="E38" i="29"/>
  <c r="F38" i="29" s="1"/>
  <c r="E37" i="29"/>
  <c r="F37" i="29" s="1"/>
  <c r="E34" i="29"/>
  <c r="F34" i="29" s="1"/>
  <c r="E33" i="29"/>
  <c r="F33" i="29" s="1"/>
  <c r="E32" i="29"/>
  <c r="F32" i="29" s="1"/>
  <c r="E30" i="29"/>
  <c r="F30" i="29" s="1"/>
  <c r="E29" i="29"/>
  <c r="F29" i="29" s="1"/>
  <c r="E28" i="29"/>
  <c r="F28" i="29" s="1"/>
  <c r="E27" i="29"/>
  <c r="F27" i="29" s="1"/>
  <c r="E24" i="29"/>
  <c r="F24" i="29" s="1"/>
  <c r="E23" i="29"/>
  <c r="F23" i="29" s="1"/>
  <c r="E22" i="29"/>
  <c r="F22" i="29" s="1"/>
  <c r="E21" i="29"/>
  <c r="F21" i="29" s="1"/>
  <c r="E20" i="29"/>
  <c r="F20" i="29" s="1"/>
  <c r="E19" i="29"/>
  <c r="F19" i="29" s="1"/>
  <c r="E18" i="29"/>
  <c r="F18" i="29" s="1"/>
  <c r="E17" i="29"/>
  <c r="F17" i="29" s="1"/>
  <c r="E16" i="29"/>
  <c r="F16" i="29" s="1"/>
  <c r="E15" i="29"/>
  <c r="F15" i="29" s="1"/>
  <c r="E13" i="29"/>
  <c r="F13" i="29" s="1"/>
  <c r="E12" i="29"/>
  <c r="F12" i="29" s="1"/>
  <c r="E11" i="29"/>
  <c r="F11" i="29" s="1"/>
  <c r="E10" i="29"/>
  <c r="F10" i="29" s="1"/>
  <c r="E9" i="29"/>
  <c r="F9" i="29" s="1"/>
  <c r="E94" i="28"/>
  <c r="F94" i="28" s="1"/>
  <c r="E93" i="28"/>
  <c r="F93" i="28" s="1"/>
  <c r="E92" i="28"/>
  <c r="F92" i="28" s="1"/>
  <c r="E91" i="28"/>
  <c r="F91" i="28" s="1"/>
  <c r="E90" i="28"/>
  <c r="F90" i="28" s="1"/>
  <c r="E89" i="28"/>
  <c r="F89" i="28" s="1"/>
  <c r="E88" i="28"/>
  <c r="F88" i="28" s="1"/>
  <c r="E86" i="28"/>
  <c r="F86" i="28" s="1"/>
  <c r="E85" i="28"/>
  <c r="F85" i="28" s="1"/>
  <c r="E84" i="28"/>
  <c r="F84" i="28" s="1"/>
  <c r="E83" i="28"/>
  <c r="F83" i="28" s="1"/>
  <c r="E81" i="28"/>
  <c r="F81" i="28" s="1"/>
  <c r="E80" i="28"/>
  <c r="F80" i="28" s="1"/>
  <c r="E79" i="28"/>
  <c r="F79" i="28" s="1"/>
  <c r="E78" i="28"/>
  <c r="F78" i="28" s="1"/>
  <c r="E74" i="28"/>
  <c r="F74" i="28" s="1"/>
  <c r="E73" i="28"/>
  <c r="F73" i="28" s="1"/>
  <c r="E72" i="28"/>
  <c r="F72" i="28" s="1"/>
  <c r="E71" i="28"/>
  <c r="F71" i="28" s="1"/>
  <c r="E70" i="28"/>
  <c r="F70" i="28" s="1"/>
  <c r="E67" i="28"/>
  <c r="F67" i="28" s="1"/>
  <c r="L66" i="28"/>
  <c r="M66" i="28" s="1"/>
  <c r="E66" i="28"/>
  <c r="F66" i="28" s="1"/>
  <c r="L65" i="28"/>
  <c r="M65" i="28" s="1"/>
  <c r="E65" i="28"/>
  <c r="F65" i="28" s="1"/>
  <c r="L63" i="28"/>
  <c r="M63" i="28" s="1"/>
  <c r="E62" i="28"/>
  <c r="F62" i="28" s="1"/>
  <c r="L61" i="28"/>
  <c r="M61" i="28" s="1"/>
  <c r="E61" i="28"/>
  <c r="F61" i="28" s="1"/>
  <c r="L60" i="28"/>
  <c r="M60" i="28" s="1"/>
  <c r="E60" i="28"/>
  <c r="F60" i="28" s="1"/>
  <c r="L59" i="28"/>
  <c r="M59" i="28" s="1"/>
  <c r="L58" i="28"/>
  <c r="M58" i="28" s="1"/>
  <c r="L57" i="28"/>
  <c r="M57" i="28" s="1"/>
  <c r="L56" i="28"/>
  <c r="M56" i="28" s="1"/>
  <c r="E56" i="28"/>
  <c r="F56" i="28" s="1"/>
  <c r="L55" i="28"/>
  <c r="M55" i="28" s="1"/>
  <c r="E55" i="28"/>
  <c r="F55" i="28" s="1"/>
  <c r="L54" i="28"/>
  <c r="M54" i="28" s="1"/>
  <c r="E54" i="28"/>
  <c r="F54" i="28" s="1"/>
  <c r="E53" i="28"/>
  <c r="F53" i="28" s="1"/>
  <c r="L52" i="28"/>
  <c r="M52" i="28" s="1"/>
  <c r="E52" i="28"/>
  <c r="F52" i="28" s="1"/>
  <c r="L51" i="28"/>
  <c r="M51" i="28" s="1"/>
  <c r="L50" i="28"/>
  <c r="M50" i="28" s="1"/>
  <c r="E49" i="28"/>
  <c r="F49" i="28" s="1"/>
  <c r="L48" i="28"/>
  <c r="M48" i="28" s="1"/>
  <c r="E48" i="28"/>
  <c r="F48" i="28" s="1"/>
  <c r="L47" i="28"/>
  <c r="M47" i="28" s="1"/>
  <c r="L46" i="28"/>
  <c r="M46" i="28" s="1"/>
  <c r="E46" i="28"/>
  <c r="F46" i="28" s="1"/>
  <c r="E45" i="28"/>
  <c r="F45" i="28" s="1"/>
  <c r="E44" i="28"/>
  <c r="F44" i="28" s="1"/>
  <c r="L43" i="28"/>
  <c r="M43" i="28" s="1"/>
  <c r="E43" i="28"/>
  <c r="F43" i="28" s="1"/>
  <c r="L42" i="28"/>
  <c r="M42" i="28" s="1"/>
  <c r="E42" i="28"/>
  <c r="F42" i="28" s="1"/>
  <c r="L41" i="28"/>
  <c r="M41" i="28" s="1"/>
  <c r="E40" i="28"/>
  <c r="F40" i="28" s="1"/>
  <c r="E39" i="28"/>
  <c r="F39" i="28" s="1"/>
  <c r="E38" i="28"/>
  <c r="F38" i="28" s="1"/>
  <c r="L37" i="28"/>
  <c r="M37" i="28" s="1"/>
  <c r="E37" i="28"/>
  <c r="F37" i="28" s="1"/>
  <c r="L36" i="28"/>
  <c r="M36" i="28" s="1"/>
  <c r="L35" i="28"/>
  <c r="M35" i="28" s="1"/>
  <c r="E35" i="28"/>
  <c r="F35" i="28" s="1"/>
  <c r="L34" i="28"/>
  <c r="M34" i="28" s="1"/>
  <c r="E34" i="28"/>
  <c r="F34" i="28" s="1"/>
  <c r="L33" i="28"/>
  <c r="M33" i="28" s="1"/>
  <c r="E33" i="28"/>
  <c r="F33" i="28" s="1"/>
  <c r="E32" i="28"/>
  <c r="F32" i="28" s="1"/>
  <c r="L31" i="28"/>
  <c r="M31" i="28" s="1"/>
  <c r="L30" i="28"/>
  <c r="M30" i="28" s="1"/>
  <c r="E30" i="28"/>
  <c r="F30" i="28" s="1"/>
  <c r="E29" i="28"/>
  <c r="F29" i="28" s="1"/>
  <c r="L28" i="28"/>
  <c r="M28" i="28" s="1"/>
  <c r="E28" i="28"/>
  <c r="F28" i="28" s="1"/>
  <c r="L27" i="28"/>
  <c r="M27" i="28" s="1"/>
  <c r="E26" i="28"/>
  <c r="F26" i="28" s="1"/>
  <c r="L25" i="28"/>
  <c r="M25" i="28" s="1"/>
  <c r="E25" i="28"/>
  <c r="F25" i="28" s="1"/>
  <c r="L24" i="28"/>
  <c r="M24" i="28" s="1"/>
  <c r="E24" i="28"/>
  <c r="F24" i="28" s="1"/>
  <c r="L22" i="28"/>
  <c r="M22" i="28" s="1"/>
  <c r="E22" i="28"/>
  <c r="F22" i="28" s="1"/>
  <c r="E21" i="28"/>
  <c r="F21" i="28" s="1"/>
  <c r="E20" i="28"/>
  <c r="F20" i="28" s="1"/>
  <c r="L19" i="28"/>
  <c r="M19" i="28" s="1"/>
  <c r="E19" i="28"/>
  <c r="F19" i="28" s="1"/>
  <c r="L18" i="28"/>
  <c r="M18" i="28" s="1"/>
  <c r="E18" i="28"/>
  <c r="F18" i="28" s="1"/>
  <c r="L17" i="28"/>
  <c r="M17" i="28" s="1"/>
  <c r="E17" i="28"/>
  <c r="F17" i="28" s="1"/>
  <c r="L16" i="28"/>
  <c r="M16" i="28" s="1"/>
  <c r="E16" i="28"/>
  <c r="F16" i="28" s="1"/>
  <c r="L15" i="28"/>
  <c r="M15" i="28" s="1"/>
  <c r="L14" i="28"/>
  <c r="M14" i="28" s="1"/>
  <c r="L13" i="28"/>
  <c r="M13" i="28" s="1"/>
  <c r="E13" i="28"/>
  <c r="F13" i="28" s="1"/>
  <c r="L12" i="28"/>
  <c r="M12" i="28" s="1"/>
  <c r="E12" i="28"/>
  <c r="F12" i="28" s="1"/>
  <c r="L11" i="28"/>
  <c r="M11" i="28" s="1"/>
  <c r="E11" i="28"/>
  <c r="F11" i="28" s="1"/>
  <c r="L10" i="28"/>
  <c r="M10" i="28" s="1"/>
  <c r="E10" i="28"/>
  <c r="F10" i="28" s="1"/>
  <c r="L9" i="28"/>
  <c r="M9" i="28" s="1"/>
  <c r="C106" i="28"/>
  <c r="E47" i="28" l="1"/>
  <c r="F47" i="28" s="1"/>
  <c r="K25" i="32"/>
  <c r="L25" i="32" s="1"/>
  <c r="J105" i="31"/>
  <c r="U5" i="33"/>
  <c r="J5" i="33"/>
  <c r="K5" i="33" s="1"/>
  <c r="R10" i="33"/>
  <c r="F28" i="33"/>
  <c r="H25" i="32"/>
  <c r="I25" i="32" s="1"/>
  <c r="D105" i="31"/>
  <c r="E25" i="32"/>
  <c r="F25" i="32" s="1"/>
  <c r="R5" i="33"/>
  <c r="G5" i="33"/>
  <c r="H5" i="33" s="1"/>
  <c r="O5" i="33"/>
  <c r="D5" i="33"/>
  <c r="E5" i="33" s="1"/>
  <c r="E14" i="29"/>
  <c r="F14" i="29" s="1"/>
  <c r="E23" i="28"/>
  <c r="F23" i="28" s="1"/>
  <c r="E36" i="28"/>
  <c r="F36" i="28" s="1"/>
  <c r="E31" i="28"/>
  <c r="F31" i="28" s="1"/>
  <c r="E77" i="28"/>
  <c r="F77" i="28" s="1"/>
  <c r="E27" i="28"/>
  <c r="F27" i="28" s="1"/>
  <c r="E48" i="29"/>
  <c r="F48" i="29" s="1"/>
  <c r="C26" i="23"/>
  <c r="E68" i="28"/>
  <c r="F68" i="28" s="1"/>
  <c r="E9" i="28"/>
  <c r="F9" i="28" s="1"/>
  <c r="E69" i="28"/>
  <c r="F69" i="28" s="1"/>
  <c r="E87" i="28"/>
  <c r="F87" i="28" s="1"/>
  <c r="E26" i="29"/>
  <c r="F26" i="29" s="1"/>
  <c r="E31" i="29"/>
  <c r="F31" i="29" s="1"/>
  <c r="E15" i="28"/>
  <c r="F15" i="28" s="1"/>
  <c r="E51" i="28"/>
  <c r="F51" i="28" s="1"/>
  <c r="E36" i="29"/>
  <c r="F36" i="29" s="1"/>
  <c r="E41" i="28"/>
  <c r="F41" i="28" s="1"/>
  <c r="E82" i="28"/>
  <c r="F82" i="28" s="1"/>
  <c r="E23" i="30"/>
  <c r="E6" i="30"/>
  <c r="E47" i="30"/>
  <c r="E36" i="30"/>
  <c r="E63" i="28"/>
  <c r="F63" i="28" s="1"/>
  <c r="E14" i="28"/>
  <c r="F14" i="28" s="1"/>
  <c r="E59" i="28"/>
  <c r="F59" i="28" s="1"/>
  <c r="E64" i="28"/>
  <c r="F64" i="28" s="1"/>
  <c r="E8" i="29"/>
  <c r="F8" i="29" s="1"/>
  <c r="J17" i="25" l="1"/>
  <c r="Q16" i="31"/>
  <c r="R16" i="31" s="1"/>
  <c r="S16" i="31" s="1"/>
  <c r="C112" i="28"/>
  <c r="C117" i="28"/>
  <c r="G14" i="35"/>
  <c r="L14" i="34"/>
  <c r="X5" i="33"/>
  <c r="V5" i="33"/>
  <c r="W5" i="33" s="1"/>
  <c r="E14" i="35"/>
  <c r="D14" i="34"/>
  <c r="P5" i="33"/>
  <c r="Q5" i="33" s="1"/>
  <c r="F14" i="35"/>
  <c r="E14" i="34"/>
  <c r="S5" i="33"/>
  <c r="T5" i="33" s="1"/>
  <c r="C104" i="28"/>
  <c r="C108" i="28" s="1"/>
  <c r="F20" i="35"/>
  <c r="E20" i="34"/>
  <c r="E25" i="29"/>
  <c r="F25" i="29" s="1"/>
  <c r="E60" i="30"/>
  <c r="E58" i="28"/>
  <c r="F58" i="28" s="1"/>
  <c r="E76" i="28"/>
  <c r="F76" i="28" s="1"/>
  <c r="E75" i="28"/>
  <c r="F75" i="28" s="1"/>
  <c r="E58" i="29"/>
  <c r="F58" i="29" s="1"/>
  <c r="E8" i="28"/>
  <c r="F8" i="28" s="1"/>
  <c r="E55" i="29"/>
  <c r="F55" i="29" s="1"/>
  <c r="E35" i="29"/>
  <c r="F35" i="29" s="1"/>
  <c r="Z5" i="33" l="1"/>
  <c r="Y5" i="33"/>
  <c r="H14" i="35"/>
  <c r="J14" i="35" s="1"/>
  <c r="K14" i="34"/>
  <c r="M14" i="34" s="1"/>
  <c r="F14" i="34"/>
  <c r="G14" i="34" s="1"/>
  <c r="I14" i="35"/>
  <c r="K14" i="35" s="1"/>
  <c r="L14" i="35"/>
  <c r="M14" i="35" s="1"/>
  <c r="K20" i="34"/>
  <c r="D111" i="28"/>
  <c r="D116" i="28"/>
  <c r="J17" i="1"/>
  <c r="W16" i="31" s="1"/>
  <c r="X16" i="31" s="1"/>
  <c r="Y16" i="31" s="1"/>
  <c r="T16" i="31"/>
  <c r="U16" i="31" s="1"/>
  <c r="V16" i="31" s="1"/>
  <c r="E57" i="28"/>
  <c r="F57" i="28" s="1"/>
  <c r="C111" i="28" l="1"/>
  <c r="C110" i="28" s="1"/>
  <c r="C116" i="28"/>
  <c r="C115" i="28" s="1"/>
  <c r="N14" i="34"/>
  <c r="E50" i="28"/>
  <c r="F50" i="28" s="1"/>
  <c r="F116" i="28" l="1"/>
  <c r="F111" i="28"/>
  <c r="E95" i="28"/>
  <c r="F95" i="28" s="1"/>
  <c r="E57" i="26" l="1"/>
  <c r="F57" i="26" s="1"/>
  <c r="E56" i="26"/>
  <c r="F56" i="26" s="1"/>
  <c r="E54" i="26"/>
  <c r="F54" i="26" s="1"/>
  <c r="E53" i="26"/>
  <c r="F53" i="26" s="1"/>
  <c r="E52" i="26"/>
  <c r="F52" i="26" s="1"/>
  <c r="E51" i="26"/>
  <c r="F51" i="26" s="1"/>
  <c r="E50" i="26"/>
  <c r="F50" i="26" s="1"/>
  <c r="E49" i="26"/>
  <c r="F49" i="26" s="1"/>
  <c r="E47" i="26"/>
  <c r="F47" i="26" s="1"/>
  <c r="E46" i="26"/>
  <c r="F46" i="26" s="1"/>
  <c r="E45" i="26"/>
  <c r="F45" i="26" s="1"/>
  <c r="E44" i="26"/>
  <c r="F44" i="26" s="1"/>
  <c r="E43" i="26"/>
  <c r="F43" i="26" s="1"/>
  <c r="E42" i="26"/>
  <c r="F42" i="26" s="1"/>
  <c r="E41" i="26"/>
  <c r="F41" i="26" s="1"/>
  <c r="E40" i="26"/>
  <c r="F40" i="26" s="1"/>
  <c r="E39" i="26"/>
  <c r="F39" i="26" s="1"/>
  <c r="E38" i="26"/>
  <c r="F38" i="26" s="1"/>
  <c r="E37" i="26"/>
  <c r="F37" i="26" s="1"/>
  <c r="E34" i="26"/>
  <c r="F34" i="26" s="1"/>
  <c r="E33" i="26"/>
  <c r="F33" i="26" s="1"/>
  <c r="E32" i="26"/>
  <c r="F32" i="26" s="1"/>
  <c r="E30" i="26"/>
  <c r="F30" i="26" s="1"/>
  <c r="E29" i="26"/>
  <c r="F29" i="26" s="1"/>
  <c r="E28" i="26"/>
  <c r="F28" i="26" s="1"/>
  <c r="E27" i="26"/>
  <c r="F27" i="26" s="1"/>
  <c r="C26" i="2"/>
  <c r="E24" i="26"/>
  <c r="F24" i="26" s="1"/>
  <c r="E23" i="26"/>
  <c r="F23" i="26" s="1"/>
  <c r="E22" i="26"/>
  <c r="F22" i="26" s="1"/>
  <c r="E21" i="26"/>
  <c r="F21" i="26" s="1"/>
  <c r="E20" i="26"/>
  <c r="F20" i="26" s="1"/>
  <c r="E19" i="26"/>
  <c r="F19" i="26" s="1"/>
  <c r="E18" i="26"/>
  <c r="F18" i="26" s="1"/>
  <c r="E17" i="26"/>
  <c r="F17" i="26" s="1"/>
  <c r="E16" i="26"/>
  <c r="F16" i="26" s="1"/>
  <c r="E15" i="26"/>
  <c r="F15" i="26" s="1"/>
  <c r="C14" i="2"/>
  <c r="E13" i="26"/>
  <c r="F13" i="26" s="1"/>
  <c r="E12" i="26"/>
  <c r="F12" i="26" s="1"/>
  <c r="E11" i="26"/>
  <c r="F11" i="26" s="1"/>
  <c r="E10" i="26"/>
  <c r="F10" i="26" s="1"/>
  <c r="E9" i="26"/>
  <c r="F9" i="26" s="1"/>
  <c r="E94" i="25"/>
  <c r="F94" i="25" s="1"/>
  <c r="E93" i="25"/>
  <c r="F93" i="25" s="1"/>
  <c r="E92" i="25"/>
  <c r="F92" i="25" s="1"/>
  <c r="E91" i="25"/>
  <c r="F91" i="25" s="1"/>
  <c r="E90" i="25"/>
  <c r="F90" i="25" s="1"/>
  <c r="E89" i="25"/>
  <c r="F89" i="25" s="1"/>
  <c r="E88" i="25"/>
  <c r="F88" i="25" s="1"/>
  <c r="E86" i="25"/>
  <c r="F86" i="25" s="1"/>
  <c r="E85" i="25"/>
  <c r="F85" i="25" s="1"/>
  <c r="E84" i="25"/>
  <c r="F84" i="25" s="1"/>
  <c r="E83" i="25"/>
  <c r="F83" i="25" s="1"/>
  <c r="E81" i="25"/>
  <c r="F81" i="25" s="1"/>
  <c r="E80" i="25"/>
  <c r="F80" i="25" s="1"/>
  <c r="E79" i="25"/>
  <c r="F79" i="25" s="1"/>
  <c r="E78" i="25"/>
  <c r="F78" i="25" s="1"/>
  <c r="G76" i="31"/>
  <c r="E74" i="25"/>
  <c r="F74" i="25" s="1"/>
  <c r="E73" i="25"/>
  <c r="F73" i="25" s="1"/>
  <c r="E72" i="25"/>
  <c r="F72" i="25" s="1"/>
  <c r="E71" i="25"/>
  <c r="F71" i="25" s="1"/>
  <c r="E70" i="25"/>
  <c r="F70" i="25" s="1"/>
  <c r="E67" i="25"/>
  <c r="F67" i="25" s="1"/>
  <c r="L66" i="25"/>
  <c r="M66" i="25" s="1"/>
  <c r="E66" i="25"/>
  <c r="F66" i="25" s="1"/>
  <c r="L65" i="25"/>
  <c r="M65" i="25" s="1"/>
  <c r="E65" i="25"/>
  <c r="F65" i="25" s="1"/>
  <c r="T63" i="31"/>
  <c r="G63" i="31"/>
  <c r="L63" i="25"/>
  <c r="M63" i="25" s="1"/>
  <c r="E62" i="25"/>
  <c r="F62" i="25" s="1"/>
  <c r="L61" i="25"/>
  <c r="M61" i="25" s="1"/>
  <c r="E61" i="25"/>
  <c r="F61" i="25" s="1"/>
  <c r="L60" i="25"/>
  <c r="M60" i="25" s="1"/>
  <c r="E60" i="25"/>
  <c r="F60" i="25" s="1"/>
  <c r="L59" i="25"/>
  <c r="M59" i="25" s="1"/>
  <c r="G58" i="31"/>
  <c r="L58" i="25"/>
  <c r="M58" i="25" s="1"/>
  <c r="L57" i="25"/>
  <c r="M57" i="25" s="1"/>
  <c r="L56" i="25"/>
  <c r="M56" i="25" s="1"/>
  <c r="E56" i="25"/>
  <c r="F56" i="25" s="1"/>
  <c r="L55" i="25"/>
  <c r="M55" i="25" s="1"/>
  <c r="E55" i="25"/>
  <c r="F55" i="25" s="1"/>
  <c r="L54" i="25"/>
  <c r="M54" i="25" s="1"/>
  <c r="E54" i="25"/>
  <c r="F54" i="25" s="1"/>
  <c r="T52" i="31"/>
  <c r="E53" i="25"/>
  <c r="F53" i="25" s="1"/>
  <c r="L52" i="25"/>
  <c r="M52" i="25" s="1"/>
  <c r="E52" i="25"/>
  <c r="F52" i="25" s="1"/>
  <c r="L51" i="25"/>
  <c r="M51" i="25" s="1"/>
  <c r="L50" i="25"/>
  <c r="M50" i="25" s="1"/>
  <c r="E49" i="25"/>
  <c r="F49" i="25" s="1"/>
  <c r="L48" i="25"/>
  <c r="M48" i="25" s="1"/>
  <c r="E48" i="25"/>
  <c r="F48" i="25" s="1"/>
  <c r="L47" i="25"/>
  <c r="M47" i="25" s="1"/>
  <c r="L46" i="25"/>
  <c r="M46" i="25" s="1"/>
  <c r="E46" i="25"/>
  <c r="F46" i="25" s="1"/>
  <c r="T44" i="31"/>
  <c r="E45" i="25"/>
  <c r="F45" i="25" s="1"/>
  <c r="E44" i="25"/>
  <c r="F44" i="25" s="1"/>
  <c r="L43" i="25"/>
  <c r="M43" i="25" s="1"/>
  <c r="E43" i="25"/>
  <c r="F43" i="25" s="1"/>
  <c r="L42" i="25"/>
  <c r="M42" i="25" s="1"/>
  <c r="E42" i="25"/>
  <c r="F42" i="25" s="1"/>
  <c r="L41" i="25"/>
  <c r="M41" i="25" s="1"/>
  <c r="G40" i="31"/>
  <c r="T39" i="31"/>
  <c r="E40" i="25"/>
  <c r="F40" i="25" s="1"/>
  <c r="E39" i="25"/>
  <c r="F39" i="25" s="1"/>
  <c r="E38" i="25"/>
  <c r="F38" i="25" s="1"/>
  <c r="L37" i="25"/>
  <c r="M37" i="25" s="1"/>
  <c r="E37" i="25"/>
  <c r="F37" i="25" s="1"/>
  <c r="L36" i="25"/>
  <c r="M36" i="25" s="1"/>
  <c r="L35" i="25"/>
  <c r="M35" i="25" s="1"/>
  <c r="E35" i="25"/>
  <c r="F35" i="25" s="1"/>
  <c r="L34" i="25"/>
  <c r="M34" i="25" s="1"/>
  <c r="E34" i="25"/>
  <c r="F34" i="25" s="1"/>
  <c r="L33" i="25"/>
  <c r="M33" i="25" s="1"/>
  <c r="E33" i="25"/>
  <c r="F33" i="25" s="1"/>
  <c r="E32" i="25"/>
  <c r="F32" i="25" s="1"/>
  <c r="L31" i="25"/>
  <c r="M31" i="25" s="1"/>
  <c r="L30" i="25"/>
  <c r="M30" i="25" s="1"/>
  <c r="E30" i="25"/>
  <c r="F30" i="25" s="1"/>
  <c r="E29" i="25"/>
  <c r="F29" i="25" s="1"/>
  <c r="L28" i="25"/>
  <c r="M28" i="25" s="1"/>
  <c r="E28" i="25"/>
  <c r="F28" i="25" s="1"/>
  <c r="L27" i="25"/>
  <c r="M27" i="25" s="1"/>
  <c r="G26" i="31"/>
  <c r="E26" i="25"/>
  <c r="F26" i="25" s="1"/>
  <c r="L25" i="25"/>
  <c r="M25" i="25" s="1"/>
  <c r="E25" i="25"/>
  <c r="F25" i="25" s="1"/>
  <c r="L24" i="25"/>
  <c r="M24" i="25" s="1"/>
  <c r="E24" i="25"/>
  <c r="F24" i="25" s="1"/>
  <c r="L22" i="25"/>
  <c r="M22" i="25" s="1"/>
  <c r="E22" i="25"/>
  <c r="F22" i="25" s="1"/>
  <c r="E21" i="25"/>
  <c r="F21" i="25" s="1"/>
  <c r="E20" i="25"/>
  <c r="F20" i="25" s="1"/>
  <c r="L19" i="25"/>
  <c r="M19" i="25" s="1"/>
  <c r="E19" i="25"/>
  <c r="F19" i="25" s="1"/>
  <c r="L18" i="25"/>
  <c r="M18" i="25" s="1"/>
  <c r="E18" i="25"/>
  <c r="F18" i="25" s="1"/>
  <c r="L17" i="25"/>
  <c r="M17" i="25" s="1"/>
  <c r="E17" i="25"/>
  <c r="F17" i="25" s="1"/>
  <c r="L16" i="25"/>
  <c r="M16" i="25" s="1"/>
  <c r="E16" i="25"/>
  <c r="F16" i="25" s="1"/>
  <c r="L15" i="25"/>
  <c r="M15" i="25" s="1"/>
  <c r="G14" i="31"/>
  <c r="L14" i="25"/>
  <c r="M14" i="25" s="1"/>
  <c r="L13" i="25"/>
  <c r="M13" i="25" s="1"/>
  <c r="E13" i="25"/>
  <c r="F13" i="25" s="1"/>
  <c r="L12" i="25"/>
  <c r="M12" i="25" s="1"/>
  <c r="E12" i="25"/>
  <c r="F12" i="25" s="1"/>
  <c r="L11" i="25"/>
  <c r="M11" i="25" s="1"/>
  <c r="E11" i="25"/>
  <c r="F11" i="25" s="1"/>
  <c r="L10" i="25"/>
  <c r="M10" i="25" s="1"/>
  <c r="E10" i="25"/>
  <c r="F10" i="25" s="1"/>
  <c r="L9" i="25"/>
  <c r="M9" i="25" s="1"/>
  <c r="G8" i="31"/>
  <c r="T7" i="31"/>
  <c r="E57" i="23"/>
  <c r="F57" i="23" s="1"/>
  <c r="E56" i="23"/>
  <c r="F56" i="23" s="1"/>
  <c r="E54" i="23"/>
  <c r="F54" i="23" s="1"/>
  <c r="E53" i="23"/>
  <c r="F53" i="23" s="1"/>
  <c r="E52" i="23"/>
  <c r="F52" i="23" s="1"/>
  <c r="E51" i="23"/>
  <c r="F51" i="23" s="1"/>
  <c r="E50" i="23"/>
  <c r="F50" i="23" s="1"/>
  <c r="E49" i="23"/>
  <c r="F49" i="23" s="1"/>
  <c r="E47" i="23"/>
  <c r="F47" i="23" s="1"/>
  <c r="E46" i="23"/>
  <c r="F46" i="23" s="1"/>
  <c r="E45" i="23"/>
  <c r="F45" i="23" s="1"/>
  <c r="E44" i="23"/>
  <c r="F44" i="23" s="1"/>
  <c r="E43" i="23"/>
  <c r="F43" i="23" s="1"/>
  <c r="E42" i="23"/>
  <c r="F42" i="23" s="1"/>
  <c r="E41" i="23"/>
  <c r="F41" i="23" s="1"/>
  <c r="E40" i="23"/>
  <c r="F40" i="23" s="1"/>
  <c r="E39" i="23"/>
  <c r="F39" i="23" s="1"/>
  <c r="E38" i="23"/>
  <c r="F38" i="23" s="1"/>
  <c r="E37" i="23"/>
  <c r="F37" i="23" s="1"/>
  <c r="E34" i="23"/>
  <c r="F34" i="23" s="1"/>
  <c r="E33" i="23"/>
  <c r="F33" i="23" s="1"/>
  <c r="E32" i="23"/>
  <c r="F32" i="23" s="1"/>
  <c r="E30" i="23"/>
  <c r="F30" i="23" s="1"/>
  <c r="E29" i="23"/>
  <c r="F29" i="23" s="1"/>
  <c r="E28" i="23"/>
  <c r="F28" i="23" s="1"/>
  <c r="E27" i="23"/>
  <c r="F27" i="23" s="1"/>
  <c r="E24" i="23"/>
  <c r="F24" i="23" s="1"/>
  <c r="E23" i="23"/>
  <c r="F23" i="23" s="1"/>
  <c r="E22" i="23"/>
  <c r="F22" i="23" s="1"/>
  <c r="E21" i="23"/>
  <c r="F21" i="23" s="1"/>
  <c r="E20" i="23"/>
  <c r="F20" i="23" s="1"/>
  <c r="E19" i="23"/>
  <c r="F19" i="23" s="1"/>
  <c r="E18" i="23"/>
  <c r="F18" i="23" s="1"/>
  <c r="E17" i="23"/>
  <c r="F17" i="23" s="1"/>
  <c r="E16" i="23"/>
  <c r="F16" i="23" s="1"/>
  <c r="E15" i="23"/>
  <c r="F15" i="23" s="1"/>
  <c r="E13" i="23"/>
  <c r="F13" i="23" s="1"/>
  <c r="E12" i="23"/>
  <c r="F12" i="23" s="1"/>
  <c r="E11" i="23"/>
  <c r="F11" i="23" s="1"/>
  <c r="E10" i="23"/>
  <c r="F10" i="23" s="1"/>
  <c r="E9" i="23"/>
  <c r="F9" i="23" s="1"/>
  <c r="E94" i="22"/>
  <c r="F94" i="22" s="1"/>
  <c r="E93" i="22"/>
  <c r="F93" i="22" s="1"/>
  <c r="E92" i="22"/>
  <c r="F92" i="22" s="1"/>
  <c r="E91" i="22"/>
  <c r="F91" i="22" s="1"/>
  <c r="E90" i="22"/>
  <c r="F90" i="22" s="1"/>
  <c r="E89" i="22"/>
  <c r="F89" i="22" s="1"/>
  <c r="E88" i="22"/>
  <c r="F88" i="22" s="1"/>
  <c r="E86" i="22"/>
  <c r="F86" i="22" s="1"/>
  <c r="E85" i="22"/>
  <c r="F85" i="22" s="1"/>
  <c r="E84" i="22"/>
  <c r="F84" i="22" s="1"/>
  <c r="E83" i="22"/>
  <c r="F83" i="22" s="1"/>
  <c r="E81" i="22"/>
  <c r="F81" i="22" s="1"/>
  <c r="E80" i="22"/>
  <c r="F80" i="22" s="1"/>
  <c r="E79" i="22"/>
  <c r="F79" i="22" s="1"/>
  <c r="E78" i="22"/>
  <c r="F78" i="22" s="1"/>
  <c r="D76" i="31"/>
  <c r="E74" i="22"/>
  <c r="F74" i="22" s="1"/>
  <c r="E73" i="22"/>
  <c r="F73" i="22" s="1"/>
  <c r="E72" i="22"/>
  <c r="F72" i="22" s="1"/>
  <c r="E71" i="22"/>
  <c r="F71" i="22" s="1"/>
  <c r="E70" i="22"/>
  <c r="F70" i="22" s="1"/>
  <c r="E67" i="22"/>
  <c r="F67" i="22" s="1"/>
  <c r="L66" i="22"/>
  <c r="M66" i="22" s="1"/>
  <c r="E66" i="22"/>
  <c r="F66" i="22" s="1"/>
  <c r="L65" i="22"/>
  <c r="M65" i="22" s="1"/>
  <c r="E65" i="22"/>
  <c r="F65" i="22" s="1"/>
  <c r="Q63" i="31"/>
  <c r="D63" i="31"/>
  <c r="L63" i="22"/>
  <c r="M63" i="22" s="1"/>
  <c r="E62" i="22"/>
  <c r="F62" i="22" s="1"/>
  <c r="L61" i="22"/>
  <c r="M61" i="22" s="1"/>
  <c r="E61" i="22"/>
  <c r="F61" i="22" s="1"/>
  <c r="L60" i="22"/>
  <c r="M60" i="22" s="1"/>
  <c r="E60" i="22"/>
  <c r="F60" i="22" s="1"/>
  <c r="L59" i="22"/>
  <c r="M59" i="22" s="1"/>
  <c r="L58" i="22"/>
  <c r="M58" i="22" s="1"/>
  <c r="L57" i="22"/>
  <c r="M57" i="22" s="1"/>
  <c r="L56" i="22"/>
  <c r="M56" i="22" s="1"/>
  <c r="E56" i="22"/>
  <c r="F56" i="22" s="1"/>
  <c r="L55" i="22"/>
  <c r="M55" i="22" s="1"/>
  <c r="E55" i="22"/>
  <c r="F55" i="22" s="1"/>
  <c r="L54" i="22"/>
  <c r="M54" i="22" s="1"/>
  <c r="E54" i="22"/>
  <c r="F54" i="22" s="1"/>
  <c r="Q52" i="31"/>
  <c r="E53" i="22"/>
  <c r="F53" i="22" s="1"/>
  <c r="L52" i="22"/>
  <c r="M52" i="22" s="1"/>
  <c r="E52" i="22"/>
  <c r="F52" i="22" s="1"/>
  <c r="L51" i="22"/>
  <c r="M51" i="22" s="1"/>
  <c r="L50" i="22"/>
  <c r="M50" i="22" s="1"/>
  <c r="E49" i="22"/>
  <c r="F49" i="22" s="1"/>
  <c r="L48" i="22"/>
  <c r="M48" i="22" s="1"/>
  <c r="E48" i="22"/>
  <c r="F48" i="22" s="1"/>
  <c r="L47" i="22"/>
  <c r="M47" i="22" s="1"/>
  <c r="L46" i="22"/>
  <c r="M46" i="22" s="1"/>
  <c r="E46" i="22"/>
  <c r="F46" i="22" s="1"/>
  <c r="Q44" i="31"/>
  <c r="E45" i="22"/>
  <c r="F45" i="22" s="1"/>
  <c r="E44" i="22"/>
  <c r="F44" i="22" s="1"/>
  <c r="L43" i="22"/>
  <c r="M43" i="22" s="1"/>
  <c r="E43" i="22"/>
  <c r="F43" i="22" s="1"/>
  <c r="L42" i="22"/>
  <c r="M42" i="22" s="1"/>
  <c r="E42" i="22"/>
  <c r="F42" i="22" s="1"/>
  <c r="L41" i="22"/>
  <c r="M41" i="22" s="1"/>
  <c r="Q39" i="31"/>
  <c r="E40" i="22"/>
  <c r="F40" i="22" s="1"/>
  <c r="E39" i="22"/>
  <c r="F39" i="22" s="1"/>
  <c r="E38" i="22"/>
  <c r="F38" i="22" s="1"/>
  <c r="L37" i="22"/>
  <c r="M37" i="22" s="1"/>
  <c r="E37" i="22"/>
  <c r="F37" i="22" s="1"/>
  <c r="L36" i="22"/>
  <c r="M36" i="22" s="1"/>
  <c r="D35" i="31"/>
  <c r="L35" i="22"/>
  <c r="M35" i="22" s="1"/>
  <c r="E35" i="22"/>
  <c r="F35" i="22" s="1"/>
  <c r="L34" i="22"/>
  <c r="M34" i="22" s="1"/>
  <c r="E34" i="22"/>
  <c r="F34" i="22" s="1"/>
  <c r="L33" i="22"/>
  <c r="M33" i="22" s="1"/>
  <c r="E33" i="22"/>
  <c r="F33" i="22" s="1"/>
  <c r="Q31" i="31"/>
  <c r="E32" i="22"/>
  <c r="F32" i="22" s="1"/>
  <c r="L31" i="22"/>
  <c r="M31" i="22" s="1"/>
  <c r="D30" i="31"/>
  <c r="L30" i="22"/>
  <c r="M30" i="22" s="1"/>
  <c r="E30" i="22"/>
  <c r="F30" i="22" s="1"/>
  <c r="E29" i="22"/>
  <c r="F29" i="22" s="1"/>
  <c r="L28" i="22"/>
  <c r="M28" i="22" s="1"/>
  <c r="E28" i="22"/>
  <c r="F28" i="22" s="1"/>
  <c r="L27" i="22"/>
  <c r="M27" i="22" s="1"/>
  <c r="D26" i="31"/>
  <c r="E26" i="22"/>
  <c r="F26" i="22" s="1"/>
  <c r="L25" i="22"/>
  <c r="M25" i="22" s="1"/>
  <c r="E25" i="22"/>
  <c r="F25" i="22" s="1"/>
  <c r="L24" i="22"/>
  <c r="M24" i="22" s="1"/>
  <c r="E24" i="22"/>
  <c r="F24" i="22" s="1"/>
  <c r="L22" i="22"/>
  <c r="M22" i="22" s="1"/>
  <c r="E22" i="22"/>
  <c r="F22" i="22" s="1"/>
  <c r="E21" i="22"/>
  <c r="F21" i="22" s="1"/>
  <c r="E20" i="22"/>
  <c r="F20" i="22" s="1"/>
  <c r="L19" i="22"/>
  <c r="M19" i="22" s="1"/>
  <c r="E19" i="22"/>
  <c r="F19" i="22" s="1"/>
  <c r="L18" i="22"/>
  <c r="M18" i="22" s="1"/>
  <c r="E18" i="22"/>
  <c r="F18" i="22" s="1"/>
  <c r="L17" i="22"/>
  <c r="M17" i="22" s="1"/>
  <c r="E17" i="22"/>
  <c r="F17" i="22" s="1"/>
  <c r="L16" i="22"/>
  <c r="M16" i="22" s="1"/>
  <c r="E16" i="22"/>
  <c r="F16" i="22" s="1"/>
  <c r="L15" i="22"/>
  <c r="M15" i="22" s="1"/>
  <c r="D14" i="31"/>
  <c r="L14" i="22"/>
  <c r="M14" i="22" s="1"/>
  <c r="L13" i="22"/>
  <c r="M13" i="22" s="1"/>
  <c r="E13" i="22"/>
  <c r="F13" i="22" s="1"/>
  <c r="L12" i="22"/>
  <c r="M12" i="22" s="1"/>
  <c r="E12" i="22"/>
  <c r="F12" i="22" s="1"/>
  <c r="L11" i="22"/>
  <c r="M11" i="22" s="1"/>
  <c r="E11" i="22"/>
  <c r="F11" i="22" s="1"/>
  <c r="L10" i="22"/>
  <c r="M10" i="22" s="1"/>
  <c r="E10" i="22"/>
  <c r="F10" i="22" s="1"/>
  <c r="L9" i="22"/>
  <c r="M9" i="22" s="1"/>
  <c r="Q7" i="31"/>
  <c r="D133" i="31" l="1"/>
  <c r="G133" i="31"/>
  <c r="U7" i="31"/>
  <c r="V7" i="31" s="1"/>
  <c r="U44" i="31"/>
  <c r="V44" i="31" s="1"/>
  <c r="U52" i="31"/>
  <c r="V52" i="31" s="1"/>
  <c r="U63" i="31"/>
  <c r="V63" i="31" s="1"/>
  <c r="U39" i="31"/>
  <c r="V39" i="31" s="1"/>
  <c r="H63" i="31"/>
  <c r="I63" i="31" s="1"/>
  <c r="H76" i="31"/>
  <c r="I76" i="31" s="1"/>
  <c r="H26" i="31"/>
  <c r="I26" i="31" s="1"/>
  <c r="H14" i="31"/>
  <c r="I14" i="31" s="1"/>
  <c r="C8" i="26"/>
  <c r="E8" i="26" s="1"/>
  <c r="F8" i="26" s="1"/>
  <c r="C4" i="33"/>
  <c r="D7" i="32"/>
  <c r="J32" i="1"/>
  <c r="T31" i="31"/>
  <c r="U31" i="31" s="1"/>
  <c r="V31" i="31" s="1"/>
  <c r="C82" i="1"/>
  <c r="G81" i="31"/>
  <c r="E47" i="25"/>
  <c r="F47" i="25" s="1"/>
  <c r="D46" i="31"/>
  <c r="D50" i="31"/>
  <c r="C36" i="26"/>
  <c r="E36" i="26" s="1"/>
  <c r="F36" i="26" s="1"/>
  <c r="C6" i="33"/>
  <c r="D35" i="32"/>
  <c r="E35" i="32" s="1"/>
  <c r="F35" i="32" s="1"/>
  <c r="C48" i="26"/>
  <c r="E48" i="26" s="1"/>
  <c r="F48" i="26" s="1"/>
  <c r="C12" i="33"/>
  <c r="D47" i="32"/>
  <c r="J23" i="1"/>
  <c r="T22" i="31"/>
  <c r="U22" i="31" s="1"/>
  <c r="V22" i="31" s="1"/>
  <c r="J26" i="1"/>
  <c r="T25" i="31"/>
  <c r="C36" i="1"/>
  <c r="G35" i="31"/>
  <c r="H35" i="31" s="1"/>
  <c r="I35" i="31" s="1"/>
  <c r="C69" i="1"/>
  <c r="G68" i="31"/>
  <c r="F4" i="33"/>
  <c r="C69" i="25"/>
  <c r="D68" i="31"/>
  <c r="C14" i="26"/>
  <c r="E14" i="26" s="1"/>
  <c r="F14" i="26" s="1"/>
  <c r="C10" i="33"/>
  <c r="D13" i="32"/>
  <c r="C23" i="1"/>
  <c r="G22" i="31"/>
  <c r="E41" i="25"/>
  <c r="F41" i="25" s="1"/>
  <c r="D40" i="31"/>
  <c r="C47" i="1"/>
  <c r="G46" i="31"/>
  <c r="C51" i="1"/>
  <c r="G50" i="31"/>
  <c r="J23" i="25"/>
  <c r="L23" i="25" s="1"/>
  <c r="M23" i="25" s="1"/>
  <c r="Q22" i="31"/>
  <c r="C59" i="25"/>
  <c r="D38" i="27" s="1"/>
  <c r="D58" i="31"/>
  <c r="C36" i="2"/>
  <c r="F6" i="33"/>
  <c r="C87" i="25"/>
  <c r="E87" i="25" s="1"/>
  <c r="F87" i="25" s="1"/>
  <c r="D86" i="31"/>
  <c r="J26" i="25"/>
  <c r="L26" i="25" s="1"/>
  <c r="M26" i="25" s="1"/>
  <c r="Q25" i="31"/>
  <c r="C31" i="26"/>
  <c r="E31" i="26" s="1"/>
  <c r="F31" i="26" s="1"/>
  <c r="C11" i="33"/>
  <c r="D30" i="32"/>
  <c r="C31" i="1"/>
  <c r="G30" i="31"/>
  <c r="H30" i="31" s="1"/>
  <c r="I30" i="31" s="1"/>
  <c r="C48" i="2"/>
  <c r="F12" i="33"/>
  <c r="E9" i="25"/>
  <c r="F9" i="25" s="1"/>
  <c r="D8" i="31"/>
  <c r="D22" i="31"/>
  <c r="C82" i="25"/>
  <c r="D81" i="31"/>
  <c r="C87" i="1"/>
  <c r="G86" i="31"/>
  <c r="C31" i="2"/>
  <c r="F11" i="33"/>
  <c r="E15" i="25"/>
  <c r="F15" i="25" s="1"/>
  <c r="E27" i="25"/>
  <c r="F27" i="25" s="1"/>
  <c r="T38" i="31"/>
  <c r="J40" i="1"/>
  <c r="J53" i="1"/>
  <c r="E36" i="25"/>
  <c r="F36" i="25" s="1"/>
  <c r="J40" i="25"/>
  <c r="C64" i="25"/>
  <c r="E23" i="25"/>
  <c r="F23" i="25" s="1"/>
  <c r="C27" i="1"/>
  <c r="C41" i="1"/>
  <c r="J45" i="1"/>
  <c r="C59" i="1"/>
  <c r="J32" i="25"/>
  <c r="L32" i="25" s="1"/>
  <c r="M32" i="25" s="1"/>
  <c r="J53" i="25"/>
  <c r="L53" i="25" s="1"/>
  <c r="M53" i="25" s="1"/>
  <c r="D15" i="18"/>
  <c r="J15" i="18" s="1"/>
  <c r="J8" i="1"/>
  <c r="C15" i="1"/>
  <c r="C64" i="1"/>
  <c r="C8" i="2"/>
  <c r="C15" i="18"/>
  <c r="I15" i="18" s="1"/>
  <c r="J8" i="25"/>
  <c r="L8" i="25" s="1"/>
  <c r="M8" i="25" s="1"/>
  <c r="E31" i="25"/>
  <c r="F31" i="25" s="1"/>
  <c r="J45" i="25"/>
  <c r="L45" i="25" s="1"/>
  <c r="M45" i="25" s="1"/>
  <c r="J64" i="25"/>
  <c r="L64" i="25" s="1"/>
  <c r="M64" i="25" s="1"/>
  <c r="D75" i="31"/>
  <c r="C77" i="25"/>
  <c r="E77" i="25" s="1"/>
  <c r="F77" i="25" s="1"/>
  <c r="C9" i="1"/>
  <c r="J64" i="1"/>
  <c r="G75" i="31"/>
  <c r="C77" i="1"/>
  <c r="E26" i="26"/>
  <c r="F26" i="26" s="1"/>
  <c r="E69" i="25"/>
  <c r="F69" i="25" s="1"/>
  <c r="E82" i="25"/>
  <c r="F82" i="25" s="1"/>
  <c r="D67" i="31"/>
  <c r="E51" i="25"/>
  <c r="F51" i="25" s="1"/>
  <c r="E59" i="25"/>
  <c r="F59" i="25" s="1"/>
  <c r="G67" i="31"/>
  <c r="H50" i="31" l="1"/>
  <c r="I50" i="31" s="1"/>
  <c r="H86" i="31"/>
  <c r="I86" i="31" s="1"/>
  <c r="H7" i="32"/>
  <c r="I7" i="32" s="1"/>
  <c r="L40" i="25"/>
  <c r="M40" i="25" s="1"/>
  <c r="D43" i="27"/>
  <c r="H75" i="31"/>
  <c r="I75" i="31" s="1"/>
  <c r="H35" i="32"/>
  <c r="I35" i="32" s="1"/>
  <c r="H67" i="31"/>
  <c r="I67" i="31" s="1"/>
  <c r="U25" i="31"/>
  <c r="V25" i="31" s="1"/>
  <c r="H46" i="31"/>
  <c r="I46" i="31" s="1"/>
  <c r="H81" i="31"/>
  <c r="I81" i="31" s="1"/>
  <c r="H58" i="31"/>
  <c r="I58" i="31" s="1"/>
  <c r="H22" i="31"/>
  <c r="I22" i="31" s="1"/>
  <c r="H68" i="31"/>
  <c r="I68" i="31" s="1"/>
  <c r="H8" i="31"/>
  <c r="I8" i="31" s="1"/>
  <c r="H40" i="31"/>
  <c r="I40" i="31" s="1"/>
  <c r="C58" i="1"/>
  <c r="G57" i="31"/>
  <c r="J21" i="25"/>
  <c r="L21" i="25" s="1"/>
  <c r="M21" i="25" s="1"/>
  <c r="C32" i="33"/>
  <c r="Q20" i="31"/>
  <c r="F32" i="33"/>
  <c r="T20" i="31"/>
  <c r="O11" i="33"/>
  <c r="H47" i="32"/>
  <c r="I47" i="32" s="1"/>
  <c r="J49" i="1"/>
  <c r="T48" i="31"/>
  <c r="C58" i="25"/>
  <c r="E58" i="25" s="1"/>
  <c r="F58" i="25" s="1"/>
  <c r="D57" i="31"/>
  <c r="C25" i="26"/>
  <c r="E25" i="26" s="1"/>
  <c r="F25" i="26" s="1"/>
  <c r="D24" i="32"/>
  <c r="J62" i="1"/>
  <c r="F35" i="33"/>
  <c r="T61" i="31"/>
  <c r="C35" i="33"/>
  <c r="Q61" i="31"/>
  <c r="C14" i="1"/>
  <c r="G13" i="31"/>
  <c r="J29" i="25"/>
  <c r="L29" i="25" s="1"/>
  <c r="M29" i="25" s="1"/>
  <c r="C33" i="33"/>
  <c r="Q28" i="31"/>
  <c r="J44" i="1"/>
  <c r="T43" i="31"/>
  <c r="U43" i="31" s="1"/>
  <c r="V43" i="31" s="1"/>
  <c r="C63" i="25"/>
  <c r="E63" i="25" s="1"/>
  <c r="F63" i="25" s="1"/>
  <c r="D62" i="31"/>
  <c r="H30" i="32"/>
  <c r="I30" i="32" s="1"/>
  <c r="G12" i="33"/>
  <c r="H12" i="33" s="1"/>
  <c r="R12" i="33"/>
  <c r="R6" i="33"/>
  <c r="G6" i="33"/>
  <c r="H6" i="33" s="1"/>
  <c r="O12" i="33"/>
  <c r="C63" i="1"/>
  <c r="G62" i="31"/>
  <c r="H62" i="31" s="1"/>
  <c r="I62" i="31" s="1"/>
  <c r="D7" i="31"/>
  <c r="D13" i="31"/>
  <c r="R11" i="33"/>
  <c r="G11" i="33"/>
  <c r="H11" i="33" s="1"/>
  <c r="F14" i="33"/>
  <c r="F15" i="33" s="1"/>
  <c r="J44" i="25"/>
  <c r="L44" i="25" s="1"/>
  <c r="M44" i="25" s="1"/>
  <c r="Q43" i="31"/>
  <c r="H13" i="32"/>
  <c r="I13" i="32" s="1"/>
  <c r="D66" i="32"/>
  <c r="R4" i="33"/>
  <c r="F7" i="33"/>
  <c r="F8" i="33" s="1"/>
  <c r="G4" i="33"/>
  <c r="H4" i="33" s="1"/>
  <c r="O4" i="33"/>
  <c r="C7" i="33"/>
  <c r="J49" i="25"/>
  <c r="L49" i="25" s="1"/>
  <c r="M49" i="25" s="1"/>
  <c r="Q48" i="31"/>
  <c r="D65" i="32"/>
  <c r="J39" i="25"/>
  <c r="L39" i="25" s="1"/>
  <c r="M39" i="25" s="1"/>
  <c r="Q38" i="31"/>
  <c r="J29" i="1"/>
  <c r="F33" i="33"/>
  <c r="T28" i="31"/>
  <c r="U28" i="31" s="1"/>
  <c r="V28" i="31" s="1"/>
  <c r="O10" i="33"/>
  <c r="C28" i="33"/>
  <c r="C14" i="33"/>
  <c r="G10" i="33"/>
  <c r="D6" i="33"/>
  <c r="E6" i="33" s="1"/>
  <c r="O6" i="33"/>
  <c r="D56" i="31"/>
  <c r="C68" i="1"/>
  <c r="E43" i="27"/>
  <c r="E64" i="25"/>
  <c r="F64" i="25" s="1"/>
  <c r="J21" i="1"/>
  <c r="D74" i="31"/>
  <c r="C76" i="25"/>
  <c r="E76" i="25" s="1"/>
  <c r="F76" i="25" s="1"/>
  <c r="C68" i="25"/>
  <c r="E68" i="25" s="1"/>
  <c r="F68" i="25" s="1"/>
  <c r="D10" i="18"/>
  <c r="J10" i="18" s="1"/>
  <c r="C76" i="1"/>
  <c r="J62" i="25"/>
  <c r="L62" i="25" s="1"/>
  <c r="M62" i="25" s="1"/>
  <c r="J39" i="1"/>
  <c r="E14" i="25"/>
  <c r="F14" i="25" s="1"/>
  <c r="C25" i="2"/>
  <c r="E38" i="27"/>
  <c r="D38" i="18"/>
  <c r="U20" i="31" l="1"/>
  <c r="V20" i="31" s="1"/>
  <c r="U48" i="31"/>
  <c r="V48" i="31" s="1"/>
  <c r="U61" i="31"/>
  <c r="V61" i="31" s="1"/>
  <c r="U38" i="31"/>
  <c r="V38" i="31" s="1"/>
  <c r="H57" i="31"/>
  <c r="I57" i="31" s="1"/>
  <c r="H13" i="31"/>
  <c r="I13" i="31" s="1"/>
  <c r="C15" i="33"/>
  <c r="C8" i="1"/>
  <c r="G7" i="31"/>
  <c r="H7" i="31" s="1"/>
  <c r="I7" i="31" s="1"/>
  <c r="C57" i="1"/>
  <c r="G56" i="31"/>
  <c r="H56" i="31" s="1"/>
  <c r="I56" i="31" s="1"/>
  <c r="E20" i="35"/>
  <c r="D20" i="34"/>
  <c r="O14" i="33"/>
  <c r="S10" i="33"/>
  <c r="F22" i="35"/>
  <c r="E22" i="34"/>
  <c r="S12" i="33"/>
  <c r="T12" i="33" s="1"/>
  <c r="C8" i="33"/>
  <c r="O32" i="33"/>
  <c r="T19" i="31"/>
  <c r="F34" i="33"/>
  <c r="F31" i="33" s="1"/>
  <c r="T37" i="31"/>
  <c r="E15" i="35"/>
  <c r="D15" i="34"/>
  <c r="P6" i="33"/>
  <c r="Q6" i="33" s="1"/>
  <c r="H10" i="33"/>
  <c r="G14" i="33"/>
  <c r="H14" i="33" s="1"/>
  <c r="R33" i="33"/>
  <c r="G33" i="33"/>
  <c r="H33" i="33" s="1"/>
  <c r="E13" i="35"/>
  <c r="D13" i="34"/>
  <c r="O7" i="33"/>
  <c r="O35" i="33"/>
  <c r="F13" i="35"/>
  <c r="E13" i="34"/>
  <c r="S4" i="33"/>
  <c r="R7" i="33"/>
  <c r="F15" i="35"/>
  <c r="E15" i="34"/>
  <c r="S6" i="33"/>
  <c r="T6" i="33" s="1"/>
  <c r="R32" i="33"/>
  <c r="G32" i="33"/>
  <c r="H32" i="33" s="1"/>
  <c r="C10" i="18"/>
  <c r="I10" i="18" s="1"/>
  <c r="Q19" i="31"/>
  <c r="C34" i="33"/>
  <c r="O34" i="33" s="1"/>
  <c r="Q37" i="31"/>
  <c r="G7" i="33"/>
  <c r="H7" i="33" s="1"/>
  <c r="H24" i="32"/>
  <c r="I24" i="32" s="1"/>
  <c r="F21" i="35"/>
  <c r="E21" i="34"/>
  <c r="S11" i="33"/>
  <c r="T11" i="33" s="1"/>
  <c r="R14" i="33"/>
  <c r="E22" i="35"/>
  <c r="D22" i="34"/>
  <c r="O33" i="33"/>
  <c r="E21" i="35"/>
  <c r="D21" i="34"/>
  <c r="G104" i="31"/>
  <c r="G102" i="31" s="1"/>
  <c r="C75" i="1"/>
  <c r="G74" i="31"/>
  <c r="H74" i="31" s="1"/>
  <c r="I74" i="31" s="1"/>
  <c r="E13" i="24"/>
  <c r="D34" i="32"/>
  <c r="R35" i="33"/>
  <c r="G35" i="33"/>
  <c r="H35" i="33" s="1"/>
  <c r="D40" i="18"/>
  <c r="E8" i="25"/>
  <c r="F8" i="25" s="1"/>
  <c r="C35" i="26"/>
  <c r="E35" i="26" s="1"/>
  <c r="F35" i="26" s="1"/>
  <c r="C46" i="18"/>
  <c r="J38" i="25"/>
  <c r="L38" i="25" s="1"/>
  <c r="M38" i="25" s="1"/>
  <c r="C26" i="18"/>
  <c r="J38" i="1"/>
  <c r="C57" i="25"/>
  <c r="E57" i="25" s="1"/>
  <c r="F57" i="25" s="1"/>
  <c r="T94" i="31"/>
  <c r="J20" i="1"/>
  <c r="C35" i="2"/>
  <c r="C75" i="25"/>
  <c r="E75" i="25" s="1"/>
  <c r="F75" i="25" s="1"/>
  <c r="E36" i="27"/>
  <c r="D115" i="31" l="1"/>
  <c r="G115" i="31"/>
  <c r="U37" i="31"/>
  <c r="V37" i="31" s="1"/>
  <c r="U19" i="31"/>
  <c r="V19" i="31" s="1"/>
  <c r="H15" i="35"/>
  <c r="J15" i="35" s="1"/>
  <c r="G119" i="31"/>
  <c r="G131" i="31"/>
  <c r="G135" i="31" s="1"/>
  <c r="D104" i="31"/>
  <c r="D102" i="31" s="1"/>
  <c r="F6" i="35"/>
  <c r="E6" i="34"/>
  <c r="K6" i="34" s="1"/>
  <c r="F29" i="35"/>
  <c r="S33" i="33"/>
  <c r="T33" i="33" s="1"/>
  <c r="F22" i="34"/>
  <c r="G22" i="34" s="1"/>
  <c r="K22" i="34"/>
  <c r="E24" i="35"/>
  <c r="H20" i="35"/>
  <c r="J20" i="35" s="1"/>
  <c r="J20" i="25"/>
  <c r="L20" i="25" s="1"/>
  <c r="M20" i="25" s="1"/>
  <c r="T4" i="33"/>
  <c r="S7" i="33"/>
  <c r="T7" i="33" s="1"/>
  <c r="H22" i="35"/>
  <c r="J22" i="35" s="1"/>
  <c r="H21" i="35"/>
  <c r="J21" i="35" s="1"/>
  <c r="F24" i="35"/>
  <c r="E31" i="35"/>
  <c r="D24" i="34"/>
  <c r="F20" i="34"/>
  <c r="G20" i="34" s="1"/>
  <c r="F7" i="35"/>
  <c r="E7" i="34"/>
  <c r="F28" i="35"/>
  <c r="S32" i="33"/>
  <c r="T32" i="33" s="1"/>
  <c r="E16" i="34"/>
  <c r="K13" i="34"/>
  <c r="F13" i="34"/>
  <c r="G13" i="34" s="1"/>
  <c r="E6" i="35"/>
  <c r="D6" i="34"/>
  <c r="R34" i="33"/>
  <c r="G34" i="33"/>
  <c r="H34" i="33" s="1"/>
  <c r="T10" i="33"/>
  <c r="S14" i="33"/>
  <c r="T14" i="33" s="1"/>
  <c r="E28" i="35"/>
  <c r="O31" i="33"/>
  <c r="C55" i="26"/>
  <c r="E55" i="26" s="1"/>
  <c r="F55" i="26" s="1"/>
  <c r="D54" i="32"/>
  <c r="H54" i="32" s="1"/>
  <c r="I54" i="32" s="1"/>
  <c r="F16" i="35"/>
  <c r="H13" i="35"/>
  <c r="J13" i="35" s="1"/>
  <c r="D16" i="34"/>
  <c r="F37" i="33"/>
  <c r="D131" i="31"/>
  <c r="E7" i="35"/>
  <c r="D7" i="34"/>
  <c r="C50" i="1"/>
  <c r="G49" i="31"/>
  <c r="C32" i="18"/>
  <c r="D49" i="31"/>
  <c r="F31" i="35"/>
  <c r="S35" i="33"/>
  <c r="T35" i="33" s="1"/>
  <c r="H34" i="32"/>
  <c r="I34" i="32" s="1"/>
  <c r="E29" i="35"/>
  <c r="K21" i="34"/>
  <c r="F21" i="34"/>
  <c r="G21" i="34" s="1"/>
  <c r="E24" i="34"/>
  <c r="E30" i="35"/>
  <c r="K15" i="34"/>
  <c r="F15" i="34"/>
  <c r="G15" i="34" s="1"/>
  <c r="E16" i="35"/>
  <c r="C31" i="33"/>
  <c r="C37" i="33" s="1"/>
  <c r="D119" i="31"/>
  <c r="C34" i="18"/>
  <c r="E54" i="24"/>
  <c r="D26" i="18"/>
  <c r="E13" i="27"/>
  <c r="J95" i="1"/>
  <c r="C55" i="2"/>
  <c r="E54" i="27"/>
  <c r="D46" i="18"/>
  <c r="E50" i="25"/>
  <c r="F50" i="25" s="1"/>
  <c r="H31" i="35" l="1"/>
  <c r="J31" i="35" s="1"/>
  <c r="H6" i="35"/>
  <c r="J6" i="35" s="1"/>
  <c r="G114" i="31"/>
  <c r="G113" i="31" s="1"/>
  <c r="H49" i="31"/>
  <c r="I49" i="31" s="1"/>
  <c r="D114" i="31"/>
  <c r="D113" i="31" s="1"/>
  <c r="Q131" i="31"/>
  <c r="G31" i="33"/>
  <c r="H31" i="33" s="1"/>
  <c r="E25" i="24"/>
  <c r="H16" i="35"/>
  <c r="J16" i="35" s="1"/>
  <c r="H7" i="35"/>
  <c r="J7" i="35" s="1"/>
  <c r="H24" i="35"/>
  <c r="J24" i="35" s="1"/>
  <c r="C95" i="1"/>
  <c r="G94" i="31"/>
  <c r="F6" i="34"/>
  <c r="G6" i="34" s="1"/>
  <c r="E8" i="34"/>
  <c r="F16" i="34"/>
  <c r="G16" i="34" s="1"/>
  <c r="F8" i="35"/>
  <c r="K16" i="34"/>
  <c r="F30" i="35"/>
  <c r="H30" i="35" s="1"/>
  <c r="J30" i="35" s="1"/>
  <c r="S34" i="33"/>
  <c r="T34" i="33" s="1"/>
  <c r="C95" i="25"/>
  <c r="D94" i="31"/>
  <c r="E27" i="35"/>
  <c r="D8" i="34"/>
  <c r="R31" i="33"/>
  <c r="S31" i="33" s="1"/>
  <c r="T31" i="33" s="1"/>
  <c r="J95" i="25"/>
  <c r="L95" i="25" s="1"/>
  <c r="M95" i="25" s="1"/>
  <c r="Q94" i="31"/>
  <c r="E8" i="35"/>
  <c r="E9" i="35" s="1"/>
  <c r="H28" i="35"/>
  <c r="K24" i="34"/>
  <c r="C58" i="26"/>
  <c r="E58" i="26" s="1"/>
  <c r="F58" i="26" s="1"/>
  <c r="D57" i="32"/>
  <c r="D135" i="31"/>
  <c r="K7" i="34"/>
  <c r="F7" i="34"/>
  <c r="G7" i="34" s="1"/>
  <c r="F24" i="34"/>
  <c r="G24" i="34" s="1"/>
  <c r="H29" i="35"/>
  <c r="E31" i="24"/>
  <c r="C24" i="18"/>
  <c r="C5" i="18"/>
  <c r="I5" i="18" s="1"/>
  <c r="C44" i="18"/>
  <c r="D5" i="18"/>
  <c r="J5" i="18" s="1"/>
  <c r="C58" i="2"/>
  <c r="E25" i="27"/>
  <c r="D32" i="18"/>
  <c r="E31" i="27"/>
  <c r="D34" i="18"/>
  <c r="F27" i="35" l="1"/>
  <c r="E95" i="25"/>
  <c r="F95" i="25" s="1"/>
  <c r="D18" i="27"/>
  <c r="D28" i="18" s="1"/>
  <c r="U94" i="31"/>
  <c r="V94" i="31" s="1"/>
  <c r="H94" i="31"/>
  <c r="I94" i="31" s="1"/>
  <c r="E23" i="24"/>
  <c r="H8" i="35"/>
  <c r="J8" i="35" s="1"/>
  <c r="F9" i="35"/>
  <c r="H9" i="35" s="1"/>
  <c r="J9" i="35" s="1"/>
  <c r="J28" i="35"/>
  <c r="H27" i="35"/>
  <c r="J27" i="35" s="1"/>
  <c r="E9" i="34"/>
  <c r="K8" i="34"/>
  <c r="F8" i="34"/>
  <c r="G8" i="34" s="1"/>
  <c r="G110" i="31"/>
  <c r="G107" i="31" s="1"/>
  <c r="D121" i="31"/>
  <c r="D118" i="31" s="1"/>
  <c r="D96" i="31"/>
  <c r="D126" i="31"/>
  <c r="D9" i="34"/>
  <c r="H57" i="32"/>
  <c r="I57" i="32" s="1"/>
  <c r="G121" i="31"/>
  <c r="G118" i="31" s="1"/>
  <c r="G96" i="31"/>
  <c r="G126" i="31"/>
  <c r="E8" i="24"/>
  <c r="E49" i="24"/>
  <c r="E47" i="24" s="1"/>
  <c r="D24" i="18"/>
  <c r="E8" i="27"/>
  <c r="E18" i="27"/>
  <c r="E49" i="27"/>
  <c r="E47" i="27" s="1"/>
  <c r="D44" i="18"/>
  <c r="E23" i="27"/>
  <c r="E57" i="20"/>
  <c r="F57" i="20" s="1"/>
  <c r="E56" i="20"/>
  <c r="F56" i="20" s="1"/>
  <c r="E54" i="20"/>
  <c r="F54" i="20" s="1"/>
  <c r="E53" i="20"/>
  <c r="F53" i="20" s="1"/>
  <c r="E52" i="20"/>
  <c r="F52" i="20" s="1"/>
  <c r="E51" i="20"/>
  <c r="F51" i="20" s="1"/>
  <c r="E50" i="20"/>
  <c r="F50" i="20" s="1"/>
  <c r="E49" i="20"/>
  <c r="F49" i="20" s="1"/>
  <c r="E47" i="20"/>
  <c r="F47" i="20" s="1"/>
  <c r="E46" i="20"/>
  <c r="F46" i="20" s="1"/>
  <c r="E45" i="20"/>
  <c r="F45" i="20" s="1"/>
  <c r="E44" i="20"/>
  <c r="F44" i="20" s="1"/>
  <c r="E43" i="20"/>
  <c r="F43" i="20" s="1"/>
  <c r="E42" i="20"/>
  <c r="F42" i="20" s="1"/>
  <c r="E41" i="20"/>
  <c r="F41" i="20" s="1"/>
  <c r="E40" i="20"/>
  <c r="F40" i="20" s="1"/>
  <c r="F39" i="20"/>
  <c r="E38" i="20"/>
  <c r="F38" i="20" s="1"/>
  <c r="E37" i="20"/>
  <c r="F37" i="20" s="1"/>
  <c r="C36" i="23"/>
  <c r="E36" i="23" s="1"/>
  <c r="F36" i="23" s="1"/>
  <c r="E34" i="20"/>
  <c r="F34" i="20" s="1"/>
  <c r="E33" i="20"/>
  <c r="F33" i="20" s="1"/>
  <c r="E32" i="20"/>
  <c r="F32" i="20" s="1"/>
  <c r="E30" i="20"/>
  <c r="F30" i="20" s="1"/>
  <c r="E29" i="20"/>
  <c r="F29" i="20" s="1"/>
  <c r="E28" i="20"/>
  <c r="F28" i="20" s="1"/>
  <c r="E27" i="20"/>
  <c r="F27" i="20" s="1"/>
  <c r="E26" i="23"/>
  <c r="F26" i="23" s="1"/>
  <c r="E24" i="20"/>
  <c r="F24" i="20" s="1"/>
  <c r="E23" i="20"/>
  <c r="F23" i="20" s="1"/>
  <c r="E22" i="20"/>
  <c r="F22" i="20" s="1"/>
  <c r="E21" i="20"/>
  <c r="F21" i="20" s="1"/>
  <c r="E20" i="20"/>
  <c r="F20" i="20" s="1"/>
  <c r="E19" i="20"/>
  <c r="F19" i="20" s="1"/>
  <c r="E18" i="20"/>
  <c r="F18" i="20" s="1"/>
  <c r="E17" i="20"/>
  <c r="F17" i="20" s="1"/>
  <c r="E16" i="20"/>
  <c r="F16" i="20" s="1"/>
  <c r="E15" i="20"/>
  <c r="F15" i="20" s="1"/>
  <c r="E13" i="20"/>
  <c r="F13" i="20" s="1"/>
  <c r="E12" i="20"/>
  <c r="F12" i="20" s="1"/>
  <c r="E11" i="20"/>
  <c r="F11" i="20" s="1"/>
  <c r="E10" i="20"/>
  <c r="F10" i="20" s="1"/>
  <c r="E9" i="20"/>
  <c r="F9" i="20" s="1"/>
  <c r="E94" i="19"/>
  <c r="F94" i="19" s="1"/>
  <c r="E93" i="19"/>
  <c r="F93" i="19" s="1"/>
  <c r="E92" i="19"/>
  <c r="F92" i="19" s="1"/>
  <c r="E91" i="19"/>
  <c r="F91" i="19" s="1"/>
  <c r="E90" i="19"/>
  <c r="F90" i="19" s="1"/>
  <c r="E89" i="19"/>
  <c r="F89" i="19" s="1"/>
  <c r="E88" i="19"/>
  <c r="F88" i="19" s="1"/>
  <c r="E86" i="19"/>
  <c r="F86" i="19" s="1"/>
  <c r="E85" i="19"/>
  <c r="F85" i="19" s="1"/>
  <c r="E84" i="19"/>
  <c r="F84" i="19" s="1"/>
  <c r="E83" i="19"/>
  <c r="F83" i="19" s="1"/>
  <c r="E81" i="19"/>
  <c r="F81" i="19" s="1"/>
  <c r="E80" i="19"/>
  <c r="F80" i="19" s="1"/>
  <c r="E79" i="19"/>
  <c r="F79" i="19" s="1"/>
  <c r="E78" i="19"/>
  <c r="F78" i="19" s="1"/>
  <c r="E74" i="19"/>
  <c r="F74" i="19" s="1"/>
  <c r="E73" i="19"/>
  <c r="F73" i="19" s="1"/>
  <c r="E72" i="19"/>
  <c r="F72" i="19" s="1"/>
  <c r="E71" i="19"/>
  <c r="F71" i="19" s="1"/>
  <c r="E70" i="19"/>
  <c r="F70" i="19" s="1"/>
  <c r="C68" i="31"/>
  <c r="E68" i="31" s="1"/>
  <c r="F68" i="31" s="1"/>
  <c r="E67" i="19"/>
  <c r="F67" i="19" s="1"/>
  <c r="L66" i="19"/>
  <c r="M66" i="19" s="1"/>
  <c r="E66" i="19"/>
  <c r="F66" i="19" s="1"/>
  <c r="L65" i="19"/>
  <c r="M65" i="19" s="1"/>
  <c r="E65" i="19"/>
  <c r="F65" i="19" s="1"/>
  <c r="K64" i="19"/>
  <c r="J64" i="19"/>
  <c r="C63" i="31"/>
  <c r="E63" i="31" s="1"/>
  <c r="F63" i="31" s="1"/>
  <c r="L63" i="19"/>
  <c r="M63" i="19" s="1"/>
  <c r="E62" i="19"/>
  <c r="F62" i="19" s="1"/>
  <c r="L61" i="19"/>
  <c r="M61" i="19" s="1"/>
  <c r="E61" i="19"/>
  <c r="F61" i="19" s="1"/>
  <c r="L60" i="19"/>
  <c r="M60" i="19" s="1"/>
  <c r="E60" i="19"/>
  <c r="F60" i="19" s="1"/>
  <c r="L59" i="19"/>
  <c r="M59" i="19" s="1"/>
  <c r="C58" i="31"/>
  <c r="E58" i="31" s="1"/>
  <c r="F58" i="31" s="1"/>
  <c r="L58" i="19"/>
  <c r="M58" i="19" s="1"/>
  <c r="L57" i="19"/>
  <c r="M57" i="19" s="1"/>
  <c r="L56" i="19"/>
  <c r="M56" i="19" s="1"/>
  <c r="E56" i="19"/>
  <c r="F56" i="19" s="1"/>
  <c r="L55" i="19"/>
  <c r="M55" i="19" s="1"/>
  <c r="E55" i="19"/>
  <c r="F55" i="19" s="1"/>
  <c r="L54" i="19"/>
  <c r="M54" i="19" s="1"/>
  <c r="E54" i="19"/>
  <c r="F54" i="19" s="1"/>
  <c r="K53" i="19"/>
  <c r="J53" i="19"/>
  <c r="J49" i="19" s="1"/>
  <c r="E53" i="19"/>
  <c r="F53" i="19" s="1"/>
  <c r="L52" i="19"/>
  <c r="M52" i="19" s="1"/>
  <c r="E52" i="19"/>
  <c r="F52" i="19" s="1"/>
  <c r="L51" i="19"/>
  <c r="M51" i="19" s="1"/>
  <c r="C50" i="31"/>
  <c r="E50" i="31" s="1"/>
  <c r="F50" i="31" s="1"/>
  <c r="L50" i="19"/>
  <c r="M50" i="19" s="1"/>
  <c r="E49" i="19"/>
  <c r="F49" i="19" s="1"/>
  <c r="L48" i="19"/>
  <c r="M48" i="19" s="1"/>
  <c r="E48" i="19"/>
  <c r="F48" i="19" s="1"/>
  <c r="L47" i="19"/>
  <c r="M47" i="19" s="1"/>
  <c r="L46" i="19"/>
  <c r="M46" i="19" s="1"/>
  <c r="E46" i="19"/>
  <c r="F46" i="19" s="1"/>
  <c r="K45" i="19"/>
  <c r="J45" i="19"/>
  <c r="E45" i="19"/>
  <c r="F45" i="19" s="1"/>
  <c r="E44" i="19"/>
  <c r="F44" i="19" s="1"/>
  <c r="L43" i="19"/>
  <c r="M43" i="19" s="1"/>
  <c r="E43" i="19"/>
  <c r="F43" i="19" s="1"/>
  <c r="L42" i="19"/>
  <c r="M42" i="19" s="1"/>
  <c r="E42" i="19"/>
  <c r="F42" i="19" s="1"/>
  <c r="L41" i="19"/>
  <c r="M41" i="19" s="1"/>
  <c r="K40" i="19"/>
  <c r="K40" i="28" s="1"/>
  <c r="L40" i="28" s="1"/>
  <c r="M40" i="28" s="1"/>
  <c r="J40" i="19"/>
  <c r="E40" i="19"/>
  <c r="F40" i="19" s="1"/>
  <c r="E39" i="19"/>
  <c r="F39" i="19" s="1"/>
  <c r="E38" i="19"/>
  <c r="F38" i="19" s="1"/>
  <c r="L37" i="19"/>
  <c r="M37" i="19" s="1"/>
  <c r="E37" i="19"/>
  <c r="F37" i="19" s="1"/>
  <c r="L36" i="19"/>
  <c r="M36" i="19" s="1"/>
  <c r="L35" i="19"/>
  <c r="M35" i="19" s="1"/>
  <c r="E35" i="19"/>
  <c r="F35" i="19" s="1"/>
  <c r="L34" i="19"/>
  <c r="M34" i="19" s="1"/>
  <c r="E34" i="19"/>
  <c r="F34" i="19" s="1"/>
  <c r="L33" i="19"/>
  <c r="M33" i="19" s="1"/>
  <c r="E33" i="19"/>
  <c r="F33" i="19" s="1"/>
  <c r="K32" i="19"/>
  <c r="K32" i="28" s="1"/>
  <c r="L32" i="28" s="1"/>
  <c r="M32" i="28" s="1"/>
  <c r="J32" i="19"/>
  <c r="E32" i="19"/>
  <c r="F32" i="19" s="1"/>
  <c r="L31" i="19"/>
  <c r="M31" i="19" s="1"/>
  <c r="L30" i="19"/>
  <c r="M30" i="19" s="1"/>
  <c r="E30" i="19"/>
  <c r="F30" i="19" s="1"/>
  <c r="E29" i="19"/>
  <c r="F29" i="19" s="1"/>
  <c r="L28" i="19"/>
  <c r="M28" i="19" s="1"/>
  <c r="E28" i="19"/>
  <c r="F28" i="19" s="1"/>
  <c r="L27" i="19"/>
  <c r="M27" i="19" s="1"/>
  <c r="C26" i="31"/>
  <c r="E26" i="31" s="1"/>
  <c r="F26" i="31" s="1"/>
  <c r="K26" i="19"/>
  <c r="K26" i="28" s="1"/>
  <c r="L26" i="28" s="1"/>
  <c r="M26" i="28" s="1"/>
  <c r="J26" i="19"/>
  <c r="E26" i="19"/>
  <c r="F26" i="19" s="1"/>
  <c r="L25" i="19"/>
  <c r="M25" i="19" s="1"/>
  <c r="E25" i="19"/>
  <c r="F25" i="19" s="1"/>
  <c r="L24" i="19"/>
  <c r="M24" i="19" s="1"/>
  <c r="E24" i="19"/>
  <c r="F24" i="19" s="1"/>
  <c r="K23" i="19"/>
  <c r="K23" i="28" s="1"/>
  <c r="L23" i="28" s="1"/>
  <c r="M23" i="28" s="1"/>
  <c r="J23" i="19"/>
  <c r="C22" i="31"/>
  <c r="E22" i="31" s="1"/>
  <c r="F22" i="31" s="1"/>
  <c r="L22" i="19"/>
  <c r="M22" i="19" s="1"/>
  <c r="E22" i="19"/>
  <c r="F22" i="19" s="1"/>
  <c r="E21" i="19"/>
  <c r="F21" i="19" s="1"/>
  <c r="E20" i="19"/>
  <c r="F20" i="19" s="1"/>
  <c r="L19" i="19"/>
  <c r="M19" i="19" s="1"/>
  <c r="E19" i="19"/>
  <c r="F19" i="19" s="1"/>
  <c r="L18" i="19"/>
  <c r="M18" i="19" s="1"/>
  <c r="E18" i="19"/>
  <c r="F18" i="19" s="1"/>
  <c r="L17" i="19"/>
  <c r="M17" i="19" s="1"/>
  <c r="E17" i="19"/>
  <c r="F17" i="19" s="1"/>
  <c r="L16" i="19"/>
  <c r="M16" i="19" s="1"/>
  <c r="E16" i="19"/>
  <c r="F16" i="19" s="1"/>
  <c r="L15" i="19"/>
  <c r="M15" i="19" s="1"/>
  <c r="L14" i="19"/>
  <c r="M14" i="19" s="1"/>
  <c r="L13" i="19"/>
  <c r="M13" i="19" s="1"/>
  <c r="E13" i="19"/>
  <c r="F13" i="19" s="1"/>
  <c r="L12" i="19"/>
  <c r="M12" i="19" s="1"/>
  <c r="E12" i="19"/>
  <c r="F12" i="19" s="1"/>
  <c r="L11" i="19"/>
  <c r="M11" i="19" s="1"/>
  <c r="E11" i="19"/>
  <c r="F11" i="19" s="1"/>
  <c r="L10" i="19"/>
  <c r="M10" i="19" s="1"/>
  <c r="E10" i="19"/>
  <c r="F10" i="19" s="1"/>
  <c r="L9" i="19"/>
  <c r="M9" i="19" s="1"/>
  <c r="K8" i="19"/>
  <c r="J8" i="19"/>
  <c r="K29" i="19" l="1"/>
  <c r="K29" i="28" s="1"/>
  <c r="P63" i="31"/>
  <c r="R63" i="31" s="1"/>
  <c r="S63" i="31" s="1"/>
  <c r="K64" i="28"/>
  <c r="L64" i="28" s="1"/>
  <c r="M64" i="28" s="1"/>
  <c r="P7" i="31"/>
  <c r="K8" i="28"/>
  <c r="P44" i="31"/>
  <c r="R44" i="31" s="1"/>
  <c r="S44" i="31" s="1"/>
  <c r="K45" i="28"/>
  <c r="L45" i="28" s="1"/>
  <c r="M45" i="28" s="1"/>
  <c r="J39" i="19"/>
  <c r="D43" i="21"/>
  <c r="F43" i="30" s="1"/>
  <c r="G43" i="30" s="1"/>
  <c r="P52" i="31"/>
  <c r="R52" i="31" s="1"/>
  <c r="S52" i="31" s="1"/>
  <c r="K53" i="28"/>
  <c r="L53" i="28" s="1"/>
  <c r="M53" i="28" s="1"/>
  <c r="J21" i="19"/>
  <c r="B33" i="33"/>
  <c r="P28" i="31"/>
  <c r="R28" i="31" s="1"/>
  <c r="S28" i="31" s="1"/>
  <c r="C87" i="22"/>
  <c r="E87" i="22" s="1"/>
  <c r="F87" i="22" s="1"/>
  <c r="C86" i="31"/>
  <c r="E86" i="31" s="1"/>
  <c r="F86" i="31" s="1"/>
  <c r="J40" i="22"/>
  <c r="P39" i="31"/>
  <c r="R39" i="31" s="1"/>
  <c r="S39" i="31" s="1"/>
  <c r="C48" i="23"/>
  <c r="E48" i="23" s="1"/>
  <c r="F48" i="23" s="1"/>
  <c r="B12" i="33"/>
  <c r="C47" i="32"/>
  <c r="E47" i="32" s="1"/>
  <c r="F47" i="32" s="1"/>
  <c r="C77" i="22"/>
  <c r="E77" i="22" s="1"/>
  <c r="F77" i="22" s="1"/>
  <c r="C76" i="31"/>
  <c r="E76" i="31" s="1"/>
  <c r="F76" i="31" s="1"/>
  <c r="J32" i="22"/>
  <c r="L32" i="22" s="1"/>
  <c r="M32" i="22" s="1"/>
  <c r="P31" i="31"/>
  <c r="R31" i="31" s="1"/>
  <c r="S31" i="31" s="1"/>
  <c r="C31" i="23"/>
  <c r="E31" i="23" s="1"/>
  <c r="F31" i="23" s="1"/>
  <c r="B11" i="33"/>
  <c r="C30" i="32"/>
  <c r="E30" i="32" s="1"/>
  <c r="F30" i="32" s="1"/>
  <c r="C82" i="22"/>
  <c r="E82" i="22" s="1"/>
  <c r="F82" i="22" s="1"/>
  <c r="C81" i="31"/>
  <c r="E81" i="31" s="1"/>
  <c r="F81" i="31" s="1"/>
  <c r="C41" i="22"/>
  <c r="E41" i="22" s="1"/>
  <c r="F41" i="22" s="1"/>
  <c r="C40" i="31"/>
  <c r="E40" i="31" s="1"/>
  <c r="F40" i="31" s="1"/>
  <c r="B4" i="33"/>
  <c r="C7" i="32"/>
  <c r="E7" i="32" s="1"/>
  <c r="F7" i="32" s="1"/>
  <c r="F9" i="34"/>
  <c r="G9" i="34" s="1"/>
  <c r="K9" i="34"/>
  <c r="J23" i="22"/>
  <c r="L23" i="22" s="1"/>
  <c r="M23" i="22" s="1"/>
  <c r="P22" i="31"/>
  <c r="R22" i="31" s="1"/>
  <c r="S22" i="31" s="1"/>
  <c r="C31" i="22"/>
  <c r="E31" i="22" s="1"/>
  <c r="F31" i="22" s="1"/>
  <c r="C30" i="31"/>
  <c r="E30" i="31" s="1"/>
  <c r="F30" i="31" s="1"/>
  <c r="C36" i="22"/>
  <c r="E36" i="22" s="1"/>
  <c r="F36" i="22" s="1"/>
  <c r="C35" i="31"/>
  <c r="E35" i="31" s="1"/>
  <c r="F35" i="31" s="1"/>
  <c r="K39" i="19"/>
  <c r="K39" i="28" s="1"/>
  <c r="L39" i="28" s="1"/>
  <c r="M39" i="28" s="1"/>
  <c r="C47" i="22"/>
  <c r="E47" i="22" s="1"/>
  <c r="F47" i="22" s="1"/>
  <c r="C46" i="31"/>
  <c r="E46" i="31" s="1"/>
  <c r="F46" i="31" s="1"/>
  <c r="C14" i="23"/>
  <c r="E14" i="23" s="1"/>
  <c r="F14" i="23" s="1"/>
  <c r="B10" i="33"/>
  <c r="C13" i="32"/>
  <c r="C9" i="22"/>
  <c r="E9" i="22" s="1"/>
  <c r="F9" i="22" s="1"/>
  <c r="C8" i="31"/>
  <c r="E8" i="31" s="1"/>
  <c r="F8" i="31" s="1"/>
  <c r="C13" i="31"/>
  <c r="E13" i="31" s="1"/>
  <c r="F13" i="31" s="1"/>
  <c r="C14" i="31"/>
  <c r="E14" i="31" s="1"/>
  <c r="F14" i="31" s="1"/>
  <c r="J26" i="22"/>
  <c r="L26" i="22" s="1"/>
  <c r="M26" i="22" s="1"/>
  <c r="P25" i="31"/>
  <c r="R25" i="31" s="1"/>
  <c r="S25" i="31" s="1"/>
  <c r="J29" i="22"/>
  <c r="L29" i="22" s="1"/>
  <c r="M29" i="22" s="1"/>
  <c r="J38" i="19"/>
  <c r="E6" i="27"/>
  <c r="E60" i="27" s="1"/>
  <c r="E77" i="19"/>
  <c r="F77" i="19" s="1"/>
  <c r="E87" i="19"/>
  <c r="F87" i="19" s="1"/>
  <c r="E14" i="20"/>
  <c r="F14" i="20" s="1"/>
  <c r="E26" i="20"/>
  <c r="F26" i="20" s="1"/>
  <c r="E48" i="20"/>
  <c r="F48" i="20" s="1"/>
  <c r="C14" i="22"/>
  <c r="E14" i="22" s="1"/>
  <c r="F14" i="22" s="1"/>
  <c r="C15" i="22"/>
  <c r="E15" i="22" s="1"/>
  <c r="F15" i="22" s="1"/>
  <c r="L45" i="19"/>
  <c r="M45" i="19" s="1"/>
  <c r="E69" i="19"/>
  <c r="F69" i="19" s="1"/>
  <c r="C69" i="22"/>
  <c r="E69" i="22" s="1"/>
  <c r="F69" i="22" s="1"/>
  <c r="C8" i="23"/>
  <c r="E8" i="23" s="1"/>
  <c r="F8" i="23" s="1"/>
  <c r="L40" i="22"/>
  <c r="M40" i="22" s="1"/>
  <c r="K44" i="19"/>
  <c r="K44" i="28" s="1"/>
  <c r="L44" i="28" s="1"/>
  <c r="M44" i="28" s="1"/>
  <c r="J45" i="22"/>
  <c r="L45" i="22" s="1"/>
  <c r="M45" i="22" s="1"/>
  <c r="E51" i="19"/>
  <c r="F51" i="19" s="1"/>
  <c r="C51" i="22"/>
  <c r="E51" i="22" s="1"/>
  <c r="F51" i="22" s="1"/>
  <c r="K62" i="19"/>
  <c r="K62" i="28" s="1"/>
  <c r="L62" i="28" s="1"/>
  <c r="M62" i="28" s="1"/>
  <c r="J64" i="22"/>
  <c r="L64" i="22" s="1"/>
  <c r="M64" i="22" s="1"/>
  <c r="E36" i="20"/>
  <c r="F36" i="20" s="1"/>
  <c r="B15" i="18"/>
  <c r="H15" i="18" s="1"/>
  <c r="J8" i="22"/>
  <c r="L8" i="22" s="1"/>
  <c r="M8" i="22" s="1"/>
  <c r="E27" i="19"/>
  <c r="F27" i="19" s="1"/>
  <c r="C27" i="22"/>
  <c r="E27" i="22" s="1"/>
  <c r="F27" i="22" s="1"/>
  <c r="L32" i="19"/>
  <c r="M32" i="19" s="1"/>
  <c r="E59" i="19"/>
  <c r="F59" i="19" s="1"/>
  <c r="C59" i="22"/>
  <c r="D38" i="24" s="1"/>
  <c r="E64" i="19"/>
  <c r="F64" i="19" s="1"/>
  <c r="E23" i="19"/>
  <c r="F23" i="19" s="1"/>
  <c r="C23" i="22"/>
  <c r="E23" i="22" s="1"/>
  <c r="F23" i="22" s="1"/>
  <c r="K49" i="19"/>
  <c r="K49" i="28" s="1"/>
  <c r="L49" i="28" s="1"/>
  <c r="M49" i="28" s="1"/>
  <c r="J53" i="22"/>
  <c r="L53" i="22" s="1"/>
  <c r="M53" i="22" s="1"/>
  <c r="C64" i="22"/>
  <c r="E64" i="22" s="1"/>
  <c r="F64" i="22" s="1"/>
  <c r="L23" i="19"/>
  <c r="M23" i="19" s="1"/>
  <c r="C75" i="31"/>
  <c r="E75" i="31" s="1"/>
  <c r="F75" i="31" s="1"/>
  <c r="L8" i="19"/>
  <c r="M8" i="19" s="1"/>
  <c r="E31" i="19"/>
  <c r="F31" i="19" s="1"/>
  <c r="E36" i="19"/>
  <c r="F36" i="19" s="1"/>
  <c r="E41" i="19"/>
  <c r="F41" i="19" s="1"/>
  <c r="L26" i="19"/>
  <c r="M26" i="19" s="1"/>
  <c r="K21" i="19"/>
  <c r="J29" i="19"/>
  <c r="L29" i="19" s="1"/>
  <c r="M29" i="19" s="1"/>
  <c r="L40" i="19"/>
  <c r="M40" i="19" s="1"/>
  <c r="E47" i="19"/>
  <c r="F47" i="19" s="1"/>
  <c r="L53" i="19"/>
  <c r="M53" i="19" s="1"/>
  <c r="F38" i="30"/>
  <c r="G38" i="30" s="1"/>
  <c r="L64" i="19"/>
  <c r="M64" i="19" s="1"/>
  <c r="E82" i="19"/>
  <c r="F82" i="19" s="1"/>
  <c r="E58" i="19"/>
  <c r="F58" i="19" s="1"/>
  <c r="F8" i="20"/>
  <c r="E31" i="20"/>
  <c r="F31" i="20" s="1"/>
  <c r="E14" i="19"/>
  <c r="F14" i="19" s="1"/>
  <c r="E9" i="19"/>
  <c r="F9" i="19" s="1"/>
  <c r="E15" i="19"/>
  <c r="F15" i="19" s="1"/>
  <c r="J44" i="19"/>
  <c r="J62" i="19"/>
  <c r="E63" i="19"/>
  <c r="F63" i="19" s="1"/>
  <c r="L39" i="19" l="1"/>
  <c r="M39" i="19" s="1"/>
  <c r="D43" i="24"/>
  <c r="D106" i="28"/>
  <c r="L8" i="28"/>
  <c r="M8" i="28" s="1"/>
  <c r="C133" i="31"/>
  <c r="R7" i="31"/>
  <c r="S7" i="31" s="1"/>
  <c r="L44" i="19"/>
  <c r="M44" i="19" s="1"/>
  <c r="K21" i="28"/>
  <c r="L62" i="19"/>
  <c r="M62" i="19" s="1"/>
  <c r="C7" i="31"/>
  <c r="E7" i="31" s="1"/>
  <c r="F7" i="31" s="1"/>
  <c r="N10" i="33"/>
  <c r="B14" i="33"/>
  <c r="B28" i="33"/>
  <c r="D10" i="33"/>
  <c r="C25" i="23"/>
  <c r="E25" i="23" s="1"/>
  <c r="F25" i="23" s="1"/>
  <c r="C24" i="32"/>
  <c r="E24" i="32" s="1"/>
  <c r="F24" i="32" s="1"/>
  <c r="C63" i="22"/>
  <c r="E63" i="22" s="1"/>
  <c r="F63" i="22" s="1"/>
  <c r="C62" i="31"/>
  <c r="E62" i="31" s="1"/>
  <c r="F62" i="31" s="1"/>
  <c r="C65" i="32"/>
  <c r="J44" i="22"/>
  <c r="L44" i="22" s="1"/>
  <c r="M44" i="22" s="1"/>
  <c r="P43" i="31"/>
  <c r="R43" i="31" s="1"/>
  <c r="S43" i="31" s="1"/>
  <c r="B7" i="33"/>
  <c r="N4" i="33"/>
  <c r="D4" i="33"/>
  <c r="N11" i="33"/>
  <c r="D11" i="33"/>
  <c r="E11" i="33" s="1"/>
  <c r="C56" i="31"/>
  <c r="E56" i="31" s="1"/>
  <c r="F56" i="31" s="1"/>
  <c r="C67" i="31"/>
  <c r="E67" i="31" s="1"/>
  <c r="F67" i="31" s="1"/>
  <c r="J21" i="22"/>
  <c r="L21" i="22" s="1"/>
  <c r="M21" i="22" s="1"/>
  <c r="B32" i="33"/>
  <c r="P20" i="31"/>
  <c r="R20" i="31" s="1"/>
  <c r="S20" i="31" s="1"/>
  <c r="C58" i="22"/>
  <c r="E58" i="22" s="1"/>
  <c r="F58" i="22" s="1"/>
  <c r="C57" i="31"/>
  <c r="E57" i="31" s="1"/>
  <c r="F57" i="31" s="1"/>
  <c r="J49" i="22"/>
  <c r="L49" i="22" s="1"/>
  <c r="M49" i="22" s="1"/>
  <c r="P48" i="31"/>
  <c r="R48" i="31" s="1"/>
  <c r="S48" i="31" s="1"/>
  <c r="N12" i="33"/>
  <c r="D12" i="33"/>
  <c r="E12" i="33" s="1"/>
  <c r="C66" i="32"/>
  <c r="E13" i="32"/>
  <c r="F13" i="32" s="1"/>
  <c r="J62" i="22"/>
  <c r="L62" i="22" s="1"/>
  <c r="M62" i="22" s="1"/>
  <c r="B35" i="33"/>
  <c r="P61" i="31"/>
  <c r="R61" i="31" s="1"/>
  <c r="S61" i="31" s="1"/>
  <c r="J39" i="22"/>
  <c r="L39" i="22" s="1"/>
  <c r="M39" i="22" s="1"/>
  <c r="P38" i="31"/>
  <c r="R38" i="31" s="1"/>
  <c r="S38" i="31" s="1"/>
  <c r="N33" i="33"/>
  <c r="D33" i="33"/>
  <c r="E33" i="33" s="1"/>
  <c r="E57" i="19"/>
  <c r="F57" i="19" s="1"/>
  <c r="L29" i="28"/>
  <c r="M29" i="28" s="1"/>
  <c r="E25" i="20"/>
  <c r="F25" i="20" s="1"/>
  <c r="L49" i="19"/>
  <c r="M49" i="19" s="1"/>
  <c r="K38" i="19"/>
  <c r="D54" i="21" s="1"/>
  <c r="G36" i="30"/>
  <c r="C76" i="22"/>
  <c r="E76" i="22" s="1"/>
  <c r="F76" i="22" s="1"/>
  <c r="E68" i="19"/>
  <c r="F68" i="19" s="1"/>
  <c r="C68" i="22"/>
  <c r="E68" i="22" s="1"/>
  <c r="F68" i="22" s="1"/>
  <c r="E59" i="22"/>
  <c r="F59" i="22" s="1"/>
  <c r="F13" i="30"/>
  <c r="G13" i="30" s="1"/>
  <c r="B10" i="18"/>
  <c r="H10" i="18" s="1"/>
  <c r="E76" i="19"/>
  <c r="F76" i="19" s="1"/>
  <c r="E43" i="21"/>
  <c r="B40" i="18"/>
  <c r="L21" i="19"/>
  <c r="M21" i="19" s="1"/>
  <c r="E38" i="21"/>
  <c r="B38" i="18"/>
  <c r="J20" i="19"/>
  <c r="J95" i="19" s="1"/>
  <c r="L21" i="28" l="1"/>
  <c r="M21" i="28" s="1"/>
  <c r="K38" i="28"/>
  <c r="D31" i="21"/>
  <c r="D25" i="21"/>
  <c r="D49" i="21"/>
  <c r="E8" i="19"/>
  <c r="F8" i="19" s="1"/>
  <c r="C8" i="22"/>
  <c r="E8" i="22" s="1"/>
  <c r="F8" i="22" s="1"/>
  <c r="C75" i="22"/>
  <c r="E75" i="22" s="1"/>
  <c r="F75" i="22" s="1"/>
  <c r="C74" i="31"/>
  <c r="E74" i="31" s="1"/>
  <c r="F74" i="31" s="1"/>
  <c r="D21" i="35"/>
  <c r="P11" i="33"/>
  <c r="Q11" i="33" s="1"/>
  <c r="J38" i="22"/>
  <c r="L38" i="22" s="1"/>
  <c r="M38" i="22" s="1"/>
  <c r="B34" i="33"/>
  <c r="P37" i="31"/>
  <c r="N35" i="33"/>
  <c r="D35" i="33"/>
  <c r="E35" i="33" s="1"/>
  <c r="D22" i="35"/>
  <c r="P12" i="33"/>
  <c r="Q12" i="33" s="1"/>
  <c r="N32" i="33"/>
  <c r="B31" i="33"/>
  <c r="D31" i="33" s="1"/>
  <c r="E31" i="33" s="1"/>
  <c r="D32" i="33"/>
  <c r="E32" i="33" s="1"/>
  <c r="D7" i="33"/>
  <c r="E7" i="33" s="1"/>
  <c r="E4" i="33"/>
  <c r="E10" i="33"/>
  <c r="D14" i="33"/>
  <c r="E14" i="33" s="1"/>
  <c r="N7" i="33"/>
  <c r="D6" i="35" s="1"/>
  <c r="D13" i="35"/>
  <c r="D16" i="35" s="1"/>
  <c r="P4" i="33"/>
  <c r="D29" i="35"/>
  <c r="P33" i="33"/>
  <c r="Q33" i="33" s="1"/>
  <c r="B8" i="33"/>
  <c r="B15" i="33"/>
  <c r="E55" i="20"/>
  <c r="F55" i="20" s="1"/>
  <c r="C34" i="32"/>
  <c r="D20" i="35"/>
  <c r="D24" i="35" s="1"/>
  <c r="N14" i="33"/>
  <c r="D7" i="35" s="1"/>
  <c r="P10" i="33"/>
  <c r="E35" i="20"/>
  <c r="F35" i="20" s="1"/>
  <c r="C35" i="23"/>
  <c r="E35" i="23" s="1"/>
  <c r="F35" i="23" s="1"/>
  <c r="B46" i="18"/>
  <c r="L38" i="19"/>
  <c r="M38" i="19" s="1"/>
  <c r="K20" i="19"/>
  <c r="E75" i="19"/>
  <c r="F75" i="19" s="1"/>
  <c r="B26" i="18"/>
  <c r="E13" i="21"/>
  <c r="C57" i="22"/>
  <c r="E57" i="22" s="1"/>
  <c r="F57" i="22" s="1"/>
  <c r="E43" i="24"/>
  <c r="C40" i="18"/>
  <c r="E38" i="24"/>
  <c r="C38" i="18"/>
  <c r="E36" i="21"/>
  <c r="L20" i="19" l="1"/>
  <c r="M20" i="19" s="1"/>
  <c r="K20" i="28"/>
  <c r="L20" i="28" s="1"/>
  <c r="M20" i="28" s="1"/>
  <c r="C115" i="31"/>
  <c r="R37" i="31"/>
  <c r="S37" i="31" s="1"/>
  <c r="D112" i="28"/>
  <c r="D110" i="28" s="1"/>
  <c r="D117" i="28"/>
  <c r="L38" i="28"/>
  <c r="M38" i="28" s="1"/>
  <c r="D104" i="28"/>
  <c r="D108" i="28" s="1"/>
  <c r="D8" i="35"/>
  <c r="D9" i="35" s="1"/>
  <c r="C57" i="32"/>
  <c r="E57" i="32" s="1"/>
  <c r="F57" i="32" s="1"/>
  <c r="C55" i="23"/>
  <c r="E55" i="23" s="1"/>
  <c r="F55" i="23" s="1"/>
  <c r="C54" i="32"/>
  <c r="E54" i="32" s="1"/>
  <c r="F54" i="32" s="1"/>
  <c r="D31" i="35"/>
  <c r="P35" i="33"/>
  <c r="Q35" i="33" s="1"/>
  <c r="C119" i="31"/>
  <c r="C104" i="31"/>
  <c r="C102" i="31" s="1"/>
  <c r="E34" i="32"/>
  <c r="F34" i="32" s="1"/>
  <c r="J20" i="22"/>
  <c r="L20" i="22" s="1"/>
  <c r="M20" i="22" s="1"/>
  <c r="P19" i="31"/>
  <c r="C131" i="31"/>
  <c r="D28" i="35"/>
  <c r="N31" i="33"/>
  <c r="P31" i="33" s="1"/>
  <c r="Q31" i="33" s="1"/>
  <c r="P32" i="33"/>
  <c r="Q32" i="33" s="1"/>
  <c r="D34" i="33"/>
  <c r="E34" i="33" s="1"/>
  <c r="N34" i="33"/>
  <c r="P7" i="33"/>
  <c r="Q7" i="33" s="1"/>
  <c r="Q4" i="33"/>
  <c r="Q10" i="33"/>
  <c r="P14" i="33"/>
  <c r="Q14" i="33" s="1"/>
  <c r="F25" i="30"/>
  <c r="G25" i="30" s="1"/>
  <c r="C49" i="31"/>
  <c r="E54" i="21"/>
  <c r="F54" i="30"/>
  <c r="G54" i="30" s="1"/>
  <c r="K95" i="19"/>
  <c r="K95" i="28" s="1"/>
  <c r="L95" i="28" s="1"/>
  <c r="M95" i="28" s="1"/>
  <c r="F31" i="30"/>
  <c r="G31" i="30" s="1"/>
  <c r="E50" i="19"/>
  <c r="F50" i="19" s="1"/>
  <c r="B5" i="18"/>
  <c r="H5" i="18" s="1"/>
  <c r="C58" i="23"/>
  <c r="E58" i="23" s="1"/>
  <c r="F58" i="23" s="1"/>
  <c r="E36" i="24"/>
  <c r="C50" i="22"/>
  <c r="E50" i="22" s="1"/>
  <c r="F50" i="22" s="1"/>
  <c r="C94" i="31"/>
  <c r="E94" i="31" s="1"/>
  <c r="F94" i="31" s="1"/>
  <c r="E58" i="20"/>
  <c r="F58" i="20" s="1"/>
  <c r="F8" i="30"/>
  <c r="G8" i="30" s="1"/>
  <c r="F117" i="28" l="1"/>
  <c r="D115" i="28"/>
  <c r="B37" i="33"/>
  <c r="R19" i="31"/>
  <c r="S19" i="31" s="1"/>
  <c r="C114" i="31"/>
  <c r="C113" i="31" s="1"/>
  <c r="E49" i="31"/>
  <c r="F49" i="31" s="1"/>
  <c r="B32" i="18"/>
  <c r="E25" i="21"/>
  <c r="G23" i="30"/>
  <c r="D30" i="35"/>
  <c r="D27" i="35" s="1"/>
  <c r="P34" i="33"/>
  <c r="Q34" i="33" s="1"/>
  <c r="C135" i="31"/>
  <c r="P131" i="31"/>
  <c r="J95" i="22"/>
  <c r="L95" i="22" s="1"/>
  <c r="M95" i="22" s="1"/>
  <c r="P94" i="31"/>
  <c r="D110" i="31"/>
  <c r="D107" i="31" s="1"/>
  <c r="C121" i="31"/>
  <c r="C118" i="31" s="1"/>
  <c r="C126" i="31"/>
  <c r="L95" i="19"/>
  <c r="M95" i="19" s="1"/>
  <c r="B34" i="18"/>
  <c r="E31" i="21"/>
  <c r="E95" i="19"/>
  <c r="F95" i="19" s="1"/>
  <c r="F18" i="30"/>
  <c r="G18" i="30" s="1"/>
  <c r="G6" i="30" s="1"/>
  <c r="C95" i="22"/>
  <c r="D18" i="24" s="1"/>
  <c r="E8" i="21"/>
  <c r="B24" i="18"/>
  <c r="C96" i="31" l="1"/>
  <c r="R94" i="31"/>
  <c r="S94" i="31" s="1"/>
  <c r="E23" i="21"/>
  <c r="B28" i="18"/>
  <c r="E18" i="21"/>
  <c r="E6" i="21" s="1"/>
  <c r="F49" i="30"/>
  <c r="G49" i="30" s="1"/>
  <c r="G47" i="30" s="1"/>
  <c r="G60" i="30" s="1"/>
  <c r="B44" i="18"/>
  <c r="E49" i="21"/>
  <c r="E47" i="21" s="1"/>
  <c r="E95" i="22"/>
  <c r="F95" i="22" s="1"/>
  <c r="E93" i="1"/>
  <c r="F93" i="1" s="1"/>
  <c r="E94" i="1"/>
  <c r="F94" i="1" s="1"/>
  <c r="E60" i="21" l="1"/>
  <c r="E18" i="24"/>
  <c r="E6" i="24" s="1"/>
  <c r="E60" i="24" s="1"/>
  <c r="C28" i="18"/>
  <c r="K64" i="1"/>
  <c r="W63" i="31" s="1"/>
  <c r="X63" i="31" s="1"/>
  <c r="Y63" i="31" s="1"/>
  <c r="K53" i="1"/>
  <c r="K45" i="1"/>
  <c r="K40" i="1"/>
  <c r="D43" i="4" s="1"/>
  <c r="K32" i="1"/>
  <c r="W31" i="31" s="1"/>
  <c r="X31" i="31" s="1"/>
  <c r="Y31" i="31" s="1"/>
  <c r="K26" i="1"/>
  <c r="W25" i="31" s="1"/>
  <c r="X25" i="31" s="1"/>
  <c r="Y25" i="31" s="1"/>
  <c r="K23" i="1"/>
  <c r="W22" i="31" s="1"/>
  <c r="X22" i="31" s="1"/>
  <c r="Y22" i="31" s="1"/>
  <c r="D87" i="1"/>
  <c r="J86" i="31" s="1"/>
  <c r="K86" i="31" s="1"/>
  <c r="L86" i="31" s="1"/>
  <c r="D82" i="1"/>
  <c r="J81" i="31" s="1"/>
  <c r="K81" i="31" s="1"/>
  <c r="L81" i="31" s="1"/>
  <c r="D77" i="1"/>
  <c r="J76" i="31" s="1"/>
  <c r="K76" i="31" s="1"/>
  <c r="L76" i="31" s="1"/>
  <c r="D69" i="1"/>
  <c r="J68" i="31" s="1"/>
  <c r="K68" i="31" s="1"/>
  <c r="L68" i="31" s="1"/>
  <c r="D64" i="1"/>
  <c r="J63" i="31" s="1"/>
  <c r="K63" i="31" s="1"/>
  <c r="L63" i="31" s="1"/>
  <c r="D59" i="1"/>
  <c r="D41" i="1"/>
  <c r="J40" i="31" s="1"/>
  <c r="K40" i="31" s="1"/>
  <c r="L40" i="31" s="1"/>
  <c r="D36" i="1"/>
  <c r="J35" i="31" s="1"/>
  <c r="K35" i="31" s="1"/>
  <c r="L35" i="31" s="1"/>
  <c r="D31" i="1"/>
  <c r="J30" i="31" s="1"/>
  <c r="K30" i="31" s="1"/>
  <c r="L30" i="31" s="1"/>
  <c r="D15" i="1"/>
  <c r="J14" i="31" s="1"/>
  <c r="K14" i="31" s="1"/>
  <c r="L14" i="31" s="1"/>
  <c r="J58" i="31" l="1"/>
  <c r="K58" i="31" s="1"/>
  <c r="L58" i="31" s="1"/>
  <c r="D38" i="4"/>
  <c r="E38" i="18" s="1"/>
  <c r="K44" i="1"/>
  <c r="W43" i="31" s="1"/>
  <c r="X43" i="31" s="1"/>
  <c r="Y43" i="31" s="1"/>
  <c r="W44" i="31"/>
  <c r="X44" i="31" s="1"/>
  <c r="Y44" i="31" s="1"/>
  <c r="K49" i="1"/>
  <c r="W48" i="31" s="1"/>
  <c r="X48" i="31" s="1"/>
  <c r="Y48" i="31" s="1"/>
  <c r="W52" i="31"/>
  <c r="X52" i="31" s="1"/>
  <c r="Y52" i="31" s="1"/>
  <c r="K39" i="1"/>
  <c r="W38" i="31" s="1"/>
  <c r="X38" i="31" s="1"/>
  <c r="Y38" i="31" s="1"/>
  <c r="W39" i="31"/>
  <c r="X39" i="31" s="1"/>
  <c r="Y39" i="31" s="1"/>
  <c r="D76" i="1"/>
  <c r="E40" i="18"/>
  <c r="L44" i="1"/>
  <c r="M44" i="1" s="1"/>
  <c r="D75" i="1" l="1"/>
  <c r="J74" i="31" s="1"/>
  <c r="K74" i="31" s="1"/>
  <c r="L74" i="31" s="1"/>
  <c r="J75" i="31"/>
  <c r="K75" i="31" s="1"/>
  <c r="L75" i="3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9" i="1"/>
  <c r="M39" i="1" s="1"/>
  <c r="L40" i="1"/>
  <c r="M40" i="1" s="1"/>
  <c r="L41" i="1"/>
  <c r="M41" i="1" s="1"/>
  <c r="L42" i="1"/>
  <c r="M42" i="1" s="1"/>
  <c r="L43" i="1"/>
  <c r="M43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3" i="1"/>
  <c r="M63" i="1" s="1"/>
  <c r="L64" i="1"/>
  <c r="M64" i="1" s="1"/>
  <c r="L65" i="1"/>
  <c r="M65" i="1" s="1"/>
  <c r="L66" i="1"/>
  <c r="M66" i="1" s="1"/>
  <c r="E9" i="2"/>
  <c r="F9" i="2" s="1"/>
  <c r="E10" i="2"/>
  <c r="F10" i="2" s="1"/>
  <c r="E11" i="2"/>
  <c r="F11" i="2" s="1"/>
  <c r="E12" i="2"/>
  <c r="F12" i="2" s="1"/>
  <c r="E13" i="2"/>
  <c r="F13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7" i="2"/>
  <c r="F27" i="2" s="1"/>
  <c r="E28" i="2"/>
  <c r="F28" i="2" s="1"/>
  <c r="E29" i="2"/>
  <c r="F29" i="2" s="1"/>
  <c r="E30" i="2"/>
  <c r="F30" i="2" s="1"/>
  <c r="E32" i="2"/>
  <c r="F32" i="2" s="1"/>
  <c r="E33" i="2"/>
  <c r="F33" i="2" s="1"/>
  <c r="E34" i="2"/>
  <c r="F34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9" i="2"/>
  <c r="F49" i="2" s="1"/>
  <c r="E50" i="2"/>
  <c r="F50" i="2" s="1"/>
  <c r="E51" i="2"/>
  <c r="F51" i="2" s="1"/>
  <c r="E52" i="2"/>
  <c r="F52" i="2" s="1"/>
  <c r="E53" i="2"/>
  <c r="F53" i="2" s="1"/>
  <c r="E54" i="2"/>
  <c r="F54" i="2" s="1"/>
  <c r="E56" i="2"/>
  <c r="F56" i="2" s="1"/>
  <c r="E57" i="2"/>
  <c r="F57" i="2" s="1"/>
  <c r="E10" i="1" l="1"/>
  <c r="F10" i="1" s="1"/>
  <c r="E11" i="1"/>
  <c r="F11" i="1" s="1"/>
  <c r="E12" i="1"/>
  <c r="F12" i="1" s="1"/>
  <c r="E13" i="1"/>
  <c r="F13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4" i="1"/>
  <c r="F24" i="1" s="1"/>
  <c r="E25" i="1"/>
  <c r="F25" i="1" s="1"/>
  <c r="E26" i="1"/>
  <c r="F26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8" i="1"/>
  <c r="F48" i="1" s="1"/>
  <c r="E49" i="1"/>
  <c r="F49" i="1" s="1"/>
  <c r="E52" i="1"/>
  <c r="F52" i="1" s="1"/>
  <c r="E53" i="1"/>
  <c r="F53" i="1" s="1"/>
  <c r="E54" i="1"/>
  <c r="F54" i="1" s="1"/>
  <c r="E55" i="1"/>
  <c r="F55" i="1" s="1"/>
  <c r="E56" i="1"/>
  <c r="F56" i="1" s="1"/>
  <c r="E59" i="1"/>
  <c r="F59" i="1" s="1"/>
  <c r="E60" i="1"/>
  <c r="F60" i="1" s="1"/>
  <c r="E61" i="1"/>
  <c r="F61" i="1" s="1"/>
  <c r="E62" i="1"/>
  <c r="F62" i="1" s="1"/>
  <c r="E64" i="1"/>
  <c r="F64" i="1" s="1"/>
  <c r="E65" i="1"/>
  <c r="F65" i="1" s="1"/>
  <c r="E66" i="1"/>
  <c r="F66" i="1" s="1"/>
  <c r="E67" i="1"/>
  <c r="F67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D48" i="2" l="1"/>
  <c r="D36" i="2"/>
  <c r="D31" i="2"/>
  <c r="D8" i="2"/>
  <c r="I4" i="33" s="1"/>
  <c r="J4" i="33" s="1"/>
  <c r="K4" i="33" s="1"/>
  <c r="D68" i="1"/>
  <c r="J67" i="31" s="1"/>
  <c r="K67" i="31" s="1"/>
  <c r="L67" i="31" s="1"/>
  <c r="K62" i="1"/>
  <c r="D63" i="1"/>
  <c r="J62" i="31" s="1"/>
  <c r="K62" i="31" s="1"/>
  <c r="L62" i="31" s="1"/>
  <c r="D58" i="1"/>
  <c r="J57" i="31" s="1"/>
  <c r="K57" i="31" s="1"/>
  <c r="L57" i="31" s="1"/>
  <c r="D51" i="1"/>
  <c r="J50" i="31" s="1"/>
  <c r="K50" i="31" s="1"/>
  <c r="L50" i="31" s="1"/>
  <c r="D47" i="1"/>
  <c r="J46" i="31" s="1"/>
  <c r="K46" i="31" s="1"/>
  <c r="L46" i="31" s="1"/>
  <c r="K29" i="1"/>
  <c r="D27" i="1"/>
  <c r="J26" i="31" s="1"/>
  <c r="K26" i="31" s="1"/>
  <c r="L26" i="31" s="1"/>
  <c r="K21" i="1"/>
  <c r="D23" i="1"/>
  <c r="D14" i="1"/>
  <c r="J13" i="31" s="1"/>
  <c r="K13" i="31" s="1"/>
  <c r="L13" i="31" s="1"/>
  <c r="D9" i="1"/>
  <c r="J8" i="31" s="1"/>
  <c r="K8" i="31" s="1"/>
  <c r="L8" i="31" s="1"/>
  <c r="J7" i="32" l="1"/>
  <c r="I35" i="33"/>
  <c r="W61" i="31"/>
  <c r="X61" i="31" s="1"/>
  <c r="Y61" i="31" s="1"/>
  <c r="E31" i="2"/>
  <c r="F31" i="2" s="1"/>
  <c r="I11" i="33"/>
  <c r="J30" i="32"/>
  <c r="K30" i="32" s="1"/>
  <c r="L30" i="32" s="1"/>
  <c r="I32" i="33"/>
  <c r="W20" i="31"/>
  <c r="X20" i="31" s="1"/>
  <c r="Y20" i="31" s="1"/>
  <c r="I12" i="33"/>
  <c r="J47" i="32"/>
  <c r="K47" i="32" s="1"/>
  <c r="L47" i="32" s="1"/>
  <c r="L29" i="1"/>
  <c r="M29" i="1" s="1"/>
  <c r="I33" i="33"/>
  <c r="W28" i="31"/>
  <c r="X28" i="31" s="1"/>
  <c r="Y28" i="31" s="1"/>
  <c r="E23" i="1"/>
  <c r="F23" i="1" s="1"/>
  <c r="J22" i="31"/>
  <c r="K22" i="31" s="1"/>
  <c r="L22" i="31" s="1"/>
  <c r="I6" i="33"/>
  <c r="J35" i="32"/>
  <c r="K35" i="32" s="1"/>
  <c r="L35" i="32" s="1"/>
  <c r="D57" i="1"/>
  <c r="J56" i="31" s="1"/>
  <c r="K56" i="31" s="1"/>
  <c r="L56" i="31" s="1"/>
  <c r="E26" i="2"/>
  <c r="F26" i="2" s="1"/>
  <c r="E36" i="2"/>
  <c r="F36" i="2" s="1"/>
  <c r="E9" i="1"/>
  <c r="F9" i="1" s="1"/>
  <c r="D8" i="1"/>
  <c r="E51" i="1"/>
  <c r="F51" i="1" s="1"/>
  <c r="E48" i="2"/>
  <c r="F48" i="2" s="1"/>
  <c r="E47" i="1"/>
  <c r="F47" i="1" s="1"/>
  <c r="L62" i="1"/>
  <c r="M62" i="1" s="1"/>
  <c r="E68" i="1"/>
  <c r="F68" i="1" s="1"/>
  <c r="E63" i="1"/>
  <c r="F63" i="1" s="1"/>
  <c r="E58" i="1"/>
  <c r="F58" i="1" s="1"/>
  <c r="E14" i="1"/>
  <c r="F14" i="1" s="1"/>
  <c r="E8" i="2"/>
  <c r="F8" i="2" s="1"/>
  <c r="E38" i="4"/>
  <c r="K8" i="1"/>
  <c r="E27" i="1"/>
  <c r="F27" i="1" s="1"/>
  <c r="K38" i="1"/>
  <c r="D14" i="2"/>
  <c r="W7" i="31" l="1"/>
  <c r="J7" i="31"/>
  <c r="K7" i="31" s="1"/>
  <c r="L7" i="31" s="1"/>
  <c r="D54" i="4"/>
  <c r="E46" i="18" s="1"/>
  <c r="I34" i="33"/>
  <c r="W37" i="31"/>
  <c r="J119" i="31" s="1"/>
  <c r="U11" i="33"/>
  <c r="J11" i="33"/>
  <c r="K11" i="33" s="1"/>
  <c r="U12" i="33"/>
  <c r="J12" i="33"/>
  <c r="K12" i="33" s="1"/>
  <c r="I10" i="33"/>
  <c r="J13" i="32"/>
  <c r="U6" i="33"/>
  <c r="J6" i="33"/>
  <c r="K6" i="33" s="1"/>
  <c r="U35" i="33"/>
  <c r="J35" i="33"/>
  <c r="K35" i="33" s="1"/>
  <c r="U32" i="33"/>
  <c r="I31" i="33"/>
  <c r="J31" i="33" s="1"/>
  <c r="K31" i="33" s="1"/>
  <c r="J32" i="33"/>
  <c r="K32" i="33" s="1"/>
  <c r="J65" i="32"/>
  <c r="K7" i="32"/>
  <c r="L7" i="32" s="1"/>
  <c r="U33" i="33"/>
  <c r="J33" i="33"/>
  <c r="K33" i="33" s="1"/>
  <c r="U4" i="33"/>
  <c r="X4" i="33" s="1"/>
  <c r="Y4" i="33" s="1"/>
  <c r="I7" i="33"/>
  <c r="D50" i="1"/>
  <c r="L8" i="1"/>
  <c r="M8" i="1" s="1"/>
  <c r="E15" i="18"/>
  <c r="K15" i="18" s="1"/>
  <c r="E10" i="18"/>
  <c r="K10" i="18" s="1"/>
  <c r="E8" i="1"/>
  <c r="F8" i="1" s="1"/>
  <c r="L38" i="1"/>
  <c r="M38" i="1" s="1"/>
  <c r="E43" i="4"/>
  <c r="E36" i="4" s="1"/>
  <c r="E76" i="1"/>
  <c r="F76" i="1" s="1"/>
  <c r="E75" i="1"/>
  <c r="F75" i="1" s="1"/>
  <c r="L21" i="1"/>
  <c r="M21" i="1" s="1"/>
  <c r="D25" i="2"/>
  <c r="J24" i="32" s="1"/>
  <c r="K24" i="32" s="1"/>
  <c r="L24" i="32" s="1"/>
  <c r="E14" i="2"/>
  <c r="F14" i="2" s="1"/>
  <c r="E57" i="1"/>
  <c r="F57" i="1" s="1"/>
  <c r="K20" i="1"/>
  <c r="W19" i="31" s="1"/>
  <c r="X19" i="31" s="1"/>
  <c r="Y19" i="31" s="1"/>
  <c r="J131" i="31" l="1"/>
  <c r="T131" i="31" s="1"/>
  <c r="D31" i="4"/>
  <c r="E34" i="18" s="1"/>
  <c r="D25" i="4"/>
  <c r="E32" i="18" s="1"/>
  <c r="I8" i="33"/>
  <c r="D95" i="1"/>
  <c r="D49" i="4" s="1"/>
  <c r="K95" i="1"/>
  <c r="J115" i="31"/>
  <c r="X37" i="31"/>
  <c r="Y37" i="31" s="1"/>
  <c r="J133" i="31"/>
  <c r="X7" i="31"/>
  <c r="Y7" i="31" s="1"/>
  <c r="G28" i="35"/>
  <c r="V32" i="33"/>
  <c r="W32" i="33" s="1"/>
  <c r="X32" i="33"/>
  <c r="J49" i="31"/>
  <c r="G29" i="35"/>
  <c r="X33" i="33"/>
  <c r="Y33" i="33" s="1"/>
  <c r="V33" i="33"/>
  <c r="W33" i="33" s="1"/>
  <c r="G15" i="35"/>
  <c r="L15" i="34"/>
  <c r="M15" i="34" s="1"/>
  <c r="N15" i="34" s="1"/>
  <c r="V6" i="33"/>
  <c r="W6" i="33" s="1"/>
  <c r="X6" i="33"/>
  <c r="G21" i="35"/>
  <c r="L21" i="34"/>
  <c r="M21" i="34" s="1"/>
  <c r="N21" i="34" s="1"/>
  <c r="V11" i="33"/>
  <c r="W11" i="33" s="1"/>
  <c r="X11" i="33"/>
  <c r="G13" i="35"/>
  <c r="L13" i="34"/>
  <c r="V4" i="33"/>
  <c r="U7" i="33"/>
  <c r="L6" i="34" s="1"/>
  <c r="Z4" i="33"/>
  <c r="N119" i="31"/>
  <c r="O119" i="31" s="1"/>
  <c r="G22" i="35"/>
  <c r="L22" i="34"/>
  <c r="M22" i="34" s="1"/>
  <c r="N22" i="34" s="1"/>
  <c r="V12" i="33"/>
  <c r="W12" i="33" s="1"/>
  <c r="X12" i="33"/>
  <c r="Y12" i="33" s="1"/>
  <c r="J66" i="32"/>
  <c r="K13" i="32"/>
  <c r="L13" i="32" s="1"/>
  <c r="J7" i="33"/>
  <c r="K7" i="33" s="1"/>
  <c r="I37" i="33"/>
  <c r="G31" i="35"/>
  <c r="X35" i="33"/>
  <c r="V35" i="33"/>
  <c r="W35" i="33" s="1"/>
  <c r="U10" i="33"/>
  <c r="I14" i="33"/>
  <c r="J10" i="33"/>
  <c r="I28" i="33"/>
  <c r="J34" i="33"/>
  <c r="K34" i="33" s="1"/>
  <c r="U34" i="33"/>
  <c r="U31" i="33" s="1"/>
  <c r="E54" i="4"/>
  <c r="L20" i="1"/>
  <c r="M20" i="1" s="1"/>
  <c r="E50" i="1"/>
  <c r="F50" i="1" s="1"/>
  <c r="D35" i="2"/>
  <c r="D13" i="4" s="1"/>
  <c r="E25" i="2"/>
  <c r="F25" i="2" s="1"/>
  <c r="E25" i="4" l="1"/>
  <c r="J135" i="31"/>
  <c r="W131" i="31"/>
  <c r="Z11" i="33"/>
  <c r="Y11" i="33"/>
  <c r="Z32" i="33"/>
  <c r="Y32" i="33"/>
  <c r="Z6" i="33"/>
  <c r="Y6" i="33"/>
  <c r="Z35" i="33"/>
  <c r="Y35" i="33"/>
  <c r="J114" i="31"/>
  <c r="J113" i="31" s="1"/>
  <c r="K49" i="31"/>
  <c r="L49" i="31" s="1"/>
  <c r="I15" i="33"/>
  <c r="K10" i="33"/>
  <c r="J14" i="33"/>
  <c r="K14" i="33" s="1"/>
  <c r="G20" i="35"/>
  <c r="L20" i="34"/>
  <c r="X10" i="33"/>
  <c r="V10" i="33"/>
  <c r="U14" i="33"/>
  <c r="L22" i="35"/>
  <c r="M22" i="35" s="1"/>
  <c r="I22" i="35"/>
  <c r="K22" i="35" s="1"/>
  <c r="M13" i="34"/>
  <c r="N13" i="34" s="1"/>
  <c r="L16" i="34"/>
  <c r="M16" i="34" s="1"/>
  <c r="N16" i="34" s="1"/>
  <c r="I29" i="35"/>
  <c r="L29" i="35"/>
  <c r="M29" i="35" s="1"/>
  <c r="L28" i="35"/>
  <c r="M28" i="35" s="1"/>
  <c r="I28" i="35"/>
  <c r="E44" i="18"/>
  <c r="J94" i="31"/>
  <c r="K94" i="31" s="1"/>
  <c r="L94" i="31" s="1"/>
  <c r="X31" i="33"/>
  <c r="V31" i="33"/>
  <c r="W31" i="33" s="1"/>
  <c r="G30" i="35"/>
  <c r="V34" i="33"/>
  <c r="W34" i="33" s="1"/>
  <c r="X34" i="33"/>
  <c r="I13" i="35"/>
  <c r="K13" i="35" s="1"/>
  <c r="L13" i="35"/>
  <c r="M13" i="35" s="1"/>
  <c r="G16" i="35"/>
  <c r="E13" i="4"/>
  <c r="J34" i="32"/>
  <c r="L21" i="35"/>
  <c r="M21" i="35" s="1"/>
  <c r="I21" i="35"/>
  <c r="K21" i="35" s="1"/>
  <c r="L95" i="1"/>
  <c r="M95" i="1" s="1"/>
  <c r="W94" i="31"/>
  <c r="X94" i="31" s="1"/>
  <c r="Y94" i="31" s="1"/>
  <c r="G6" i="35"/>
  <c r="X7" i="33"/>
  <c r="V7" i="33"/>
  <c r="W7" i="33" s="1"/>
  <c r="W4" i="33"/>
  <c r="I31" i="35"/>
  <c r="K31" i="35" s="1"/>
  <c r="L31" i="35"/>
  <c r="M31" i="35" s="1"/>
  <c r="L15" i="35"/>
  <c r="M15" i="35" s="1"/>
  <c r="I15" i="35"/>
  <c r="K15" i="35" s="1"/>
  <c r="E31" i="4"/>
  <c r="E95" i="1"/>
  <c r="F95" i="1" s="1"/>
  <c r="E35" i="2"/>
  <c r="F35" i="2" s="1"/>
  <c r="D55" i="2"/>
  <c r="J54" i="32" s="1"/>
  <c r="K54" i="32" s="1"/>
  <c r="L54" i="32" s="1"/>
  <c r="E23" i="4" l="1"/>
  <c r="Z34" i="33"/>
  <c r="Y34" i="33"/>
  <c r="Z10" i="33"/>
  <c r="Y10" i="33"/>
  <c r="Z7" i="33"/>
  <c r="Y7" i="33"/>
  <c r="Z31" i="33"/>
  <c r="Y31" i="33"/>
  <c r="L6" i="35"/>
  <c r="M6" i="35" s="1"/>
  <c r="I6" i="35"/>
  <c r="K6" i="35" s="1"/>
  <c r="E26" i="18"/>
  <c r="M6" i="34"/>
  <c r="N6" i="34" s="1"/>
  <c r="K28" i="35"/>
  <c r="M20" i="34"/>
  <c r="L24" i="34"/>
  <c r="W10" i="33"/>
  <c r="V14" i="33"/>
  <c r="W14" i="33" s="1"/>
  <c r="L30" i="35"/>
  <c r="M30" i="35" s="1"/>
  <c r="I30" i="35"/>
  <c r="K30" i="35" s="1"/>
  <c r="G27" i="35"/>
  <c r="L27" i="35" s="1"/>
  <c r="M27" i="35" s="1"/>
  <c r="L20" i="35"/>
  <c r="M20" i="35" s="1"/>
  <c r="I20" i="35"/>
  <c r="K20" i="35" s="1"/>
  <c r="G24" i="35"/>
  <c r="L16" i="35"/>
  <c r="M16" i="35" s="1"/>
  <c r="I16" i="35"/>
  <c r="K16" i="35" s="1"/>
  <c r="J121" i="31"/>
  <c r="J96" i="31"/>
  <c r="J110" i="31"/>
  <c r="J107" i="31" s="1"/>
  <c r="J126" i="31"/>
  <c r="K34" i="32"/>
  <c r="L34" i="32" s="1"/>
  <c r="J104" i="31"/>
  <c r="J102" i="31" s="1"/>
  <c r="E49" i="4"/>
  <c r="E47" i="4" s="1"/>
  <c r="G7" i="35"/>
  <c r="G8" i="35" s="1"/>
  <c r="L7" i="34"/>
  <c r="M7" i="34" s="1"/>
  <c r="N7" i="34" s="1"/>
  <c r="X14" i="33"/>
  <c r="D58" i="2"/>
  <c r="E55" i="2"/>
  <c r="F55" i="2" s="1"/>
  <c r="Z14" i="33" l="1"/>
  <c r="Y14" i="33"/>
  <c r="J57" i="32"/>
  <c r="K57" i="32" s="1"/>
  <c r="L57" i="32" s="1"/>
  <c r="D18" i="4"/>
  <c r="E28" i="18" s="1"/>
  <c r="D8" i="4"/>
  <c r="E24" i="18" s="1"/>
  <c r="L7" i="35"/>
  <c r="M7" i="35" s="1"/>
  <c r="I7" i="35"/>
  <c r="K7" i="35" s="1"/>
  <c r="M24" i="34"/>
  <c r="N24" i="34" s="1"/>
  <c r="N20" i="34"/>
  <c r="L8" i="35"/>
  <c r="M8" i="35" s="1"/>
  <c r="G9" i="35"/>
  <c r="I8" i="35"/>
  <c r="K8" i="35" s="1"/>
  <c r="I27" i="35"/>
  <c r="K27" i="35" s="1"/>
  <c r="N121" i="31"/>
  <c r="O121" i="31" s="1"/>
  <c r="J118" i="31"/>
  <c r="L24" i="35"/>
  <c r="M24" i="35" s="1"/>
  <c r="I24" i="35"/>
  <c r="K24" i="35" s="1"/>
  <c r="L8" i="34"/>
  <c r="E5" i="18"/>
  <c r="K5" i="18" s="1"/>
  <c r="E58" i="2"/>
  <c r="F58" i="2" s="1"/>
  <c r="L9" i="35" l="1"/>
  <c r="M9" i="35" s="1"/>
  <c r="I9" i="35"/>
  <c r="K9" i="35" s="1"/>
  <c r="L9" i="34"/>
  <c r="M9" i="34" s="1"/>
  <c r="N9" i="34" s="1"/>
  <c r="M8" i="34"/>
  <c r="N8" i="34" s="1"/>
  <c r="E8" i="4"/>
  <c r="E18" i="4"/>
  <c r="E6" i="4" l="1"/>
  <c r="E60" i="4" s="1"/>
</calcChain>
</file>

<file path=xl/sharedStrings.xml><?xml version="1.0" encoding="utf-8"?>
<sst xmlns="http://schemas.openxmlformats.org/spreadsheetml/2006/main" count="2540" uniqueCount="347">
  <si>
    <t>……………………………….</t>
  </si>
  <si>
    <t>(pieczęć jednostki)</t>
  </si>
  <si>
    <t>AKTYWA</t>
  </si>
  <si>
    <t>Stan na dzień:</t>
  </si>
  <si>
    <t>PASYWA</t>
  </si>
  <si>
    <t>A</t>
  </si>
  <si>
    <t>Aktywa trwałe</t>
  </si>
  <si>
    <t>Kapitał (fundusz) własny</t>
  </si>
  <si>
    <t>I</t>
  </si>
  <si>
    <t>Kapitał (fundusz) podstawowy</t>
  </si>
  <si>
    <t>Koszty zakończonych prac rozwojowych</t>
  </si>
  <si>
    <t>II</t>
  </si>
  <si>
    <t>Wartość firmy</t>
  </si>
  <si>
    <t xml:space="preserve"> - nadwyżka wartości sprzedaży (wartości
emisyjnej) nad wartością nominalną udziałów (akcji)</t>
  </si>
  <si>
    <t>Inne wartości niematerialne i prawne</t>
  </si>
  <si>
    <t>Zaliczki na wartości niematerialne i prawne</t>
  </si>
  <si>
    <t>III</t>
  </si>
  <si>
    <t>Rzeczowe aktywa trwałe</t>
  </si>
  <si>
    <t xml:space="preserve"> - z tytułu aktualizacji wartości godziwej</t>
  </si>
  <si>
    <t>Środki trwałe</t>
  </si>
  <si>
    <t>IV</t>
  </si>
  <si>
    <t>a)</t>
  </si>
  <si>
    <t>grunty (w tym prawo użytkowania wieczystego gruntu)</t>
  </si>
  <si>
    <t xml:space="preserve"> - tworzone zgodnie z umową (statutem) spółki</t>
  </si>
  <si>
    <t>b)</t>
  </si>
  <si>
    <t>budynki, lokale i obiekty inżynierii lądowej i wodnej</t>
  </si>
  <si>
    <t xml:space="preserve"> - na udziały (akcje) własne</t>
  </si>
  <si>
    <t>c)</t>
  </si>
  <si>
    <t>urządzenia techniczne i maszyny</t>
  </si>
  <si>
    <t xml:space="preserve">V </t>
  </si>
  <si>
    <t>Zysk (strata) z lat ubiegłych</t>
  </si>
  <si>
    <t>d)</t>
  </si>
  <si>
    <t>środki transportu</t>
  </si>
  <si>
    <t>VI</t>
  </si>
  <si>
    <t>Zysk (strata) netto</t>
  </si>
  <si>
    <t>e)</t>
  </si>
  <si>
    <t>inne środki trwałe</t>
  </si>
  <si>
    <t>VII</t>
  </si>
  <si>
    <t>Odpisy z zysku netto w ciągu roku obrotowego (wielkość ujemna)</t>
  </si>
  <si>
    <t>Środki trwałe w budowie</t>
  </si>
  <si>
    <t>Zaliczki na środki trwałe w budowie</t>
  </si>
  <si>
    <t>B</t>
  </si>
  <si>
    <t>Zobowiązania i rezerwy na zobowiązania</t>
  </si>
  <si>
    <t>Należności długoterminowe</t>
  </si>
  <si>
    <t>Rezerwy na zobowiązania</t>
  </si>
  <si>
    <t>Od jednostek powiązanych</t>
  </si>
  <si>
    <t>Rezerwa z tytułu odroczonego podatku dochodowego</t>
  </si>
  <si>
    <t>Od pozostałych jednostek, w których jednostka posiada zaangażowanie w kapitale</t>
  </si>
  <si>
    <t>Rezerwa na świadczenia emerytalne i podobne</t>
  </si>
  <si>
    <t xml:space="preserve"> - długoterminowa</t>
  </si>
  <si>
    <t>Od pozostałych jednostek</t>
  </si>
  <si>
    <t xml:space="preserve"> - krótkoterminowa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</si>
  <si>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</si>
  <si>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</si>
  <si>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</si>
  <si>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</si>
  <si>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</si>
  <si>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</si>
  <si>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</si>
  <si>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w jednostkach powiązanych</t>
  </si>
  <si>
    <t>Wobec jednostek powiązanych</t>
  </si>
  <si>
    <t xml:space="preserve"> - udziały lub akcje</t>
  </si>
  <si>
    <t>Wobec pozostałych jednostek, w których jednostka posiada zaangażowanie w kapitale</t>
  </si>
  <si>
    <t xml:space="preserve"> - inne papiery wartościowe</t>
  </si>
  <si>
    <t xml:space="preserve"> - udzielone pożyczki</t>
  </si>
  <si>
    <t>Wobec pozostałych jednostek</t>
  </si>
  <si>
    <t xml:space="preserve"> - inne długoterminowe aktywa finansowe</t>
  </si>
  <si>
    <t>kredyty i pożyczki</t>
  </si>
  <si>
    <t>W pozostałych jednostkach, w których jednostka posiada zaangażowanie w kapitale</t>
  </si>
  <si>
    <t>z tytułu emisji dłużnych papierów wartościowych</t>
  </si>
  <si>
    <t>inne zobowiązania finansowe</t>
  </si>
  <si>
    <t>zobowiązania wekslowe</t>
  </si>
  <si>
    <t xml:space="preserve">inne  </t>
  </si>
  <si>
    <t>Zobowiązania krótkoterminowe</t>
  </si>
  <si>
    <t>w pozostałych jednostkach</t>
  </si>
  <si>
    <t>z tytułu dostaw i usług, o okresie wymagalności</t>
  </si>
  <si>
    <t xml:space="preserve"> - do 12 miesięcy</t>
  </si>
  <si>
    <t xml:space="preserve"> - powyżej 12 miesięcy</t>
  </si>
  <si>
    <t>inne</t>
  </si>
  <si>
    <t>Inne inwestycje długoterminowe</t>
  </si>
  <si>
    <t>V</t>
  </si>
  <si>
    <t>Długoterminowe rozliczenia międzyokresowe</t>
  </si>
  <si>
    <t>Aktywa z tytułu odroczonego podatku dochodowego</t>
  </si>
  <si>
    <t>Inne rozliczenia międzyokresowe</t>
  </si>
  <si>
    <t>Aktywa obrotowe</t>
  </si>
  <si>
    <t>Zapasy</t>
  </si>
  <si>
    <t>Materiały</t>
  </si>
  <si>
    <t>Półprodukty i produkty w toku</t>
  </si>
  <si>
    <t>Produkty gotowe</t>
  </si>
  <si>
    <t>Towary</t>
  </si>
  <si>
    <t>Zaliczki na dostawy i usługi</t>
  </si>
  <si>
    <t>Należności krótkoterminowe</t>
  </si>
  <si>
    <t>Należności od  jednostek powiązanych</t>
  </si>
  <si>
    <t>zaliczki na otrzymane dostawy i usługi</t>
  </si>
  <si>
    <t>z tytułu dostaw i usług, o okresie spłaty:</t>
  </si>
  <si>
    <t>f)</t>
  </si>
  <si>
    <t>g)</t>
  </si>
  <si>
    <t>z tytułu podatków, ceł, ubezpieczeń społecznych i zdrowotnych oraz innych tytułów publicznoprawnych</t>
  </si>
  <si>
    <t>h)</t>
  </si>
  <si>
    <t>z tytułu wynagrodzeń</t>
  </si>
  <si>
    <t>i)</t>
  </si>
  <si>
    <t>Należności od pozostałych jednostek, w których jednostka posiada zaangażowanie w kapitale</t>
  </si>
  <si>
    <t>Fundusze specjalne</t>
  </si>
  <si>
    <t>Rozliczenia międzyokresowe</t>
  </si>
  <si>
    <t>Ujemna wartość firmy</t>
  </si>
  <si>
    <t>Należności od pozostałych jednostek</t>
  </si>
  <si>
    <t>z tytułu podatków, dotacji, ceł, ubezpieczeń społecznych i zdrowotnych oraz innych świadczeń</t>
  </si>
  <si>
    <t>dochodzone na drodze sądowej</t>
  </si>
  <si>
    <t>Inwestycje krótkoterminowe</t>
  </si>
  <si>
    <t>Krótkoterminowe aktywa finansowe</t>
  </si>
  <si>
    <t xml:space="preserve"> - inne krótkoterminowe aktywa finansowe</t>
  </si>
  <si>
    <t>środki pieniężne i inne aktywa pieniężne</t>
  </si>
  <si>
    <t xml:space="preserve"> - środki pieniężne w kasie i na rachunkach</t>
  </si>
  <si>
    <t xml:space="preserve"> - inne środki pieniężne</t>
  </si>
  <si>
    <t xml:space="preserve"> - inne aktywa pieniężne</t>
  </si>
  <si>
    <t>Inne inwestycje krótkoterminowe</t>
  </si>
  <si>
    <t>Krótkoterminowe rozliczenia międzyokresowe</t>
  </si>
  <si>
    <t>…………………..………….…….…………</t>
  </si>
  <si>
    <t>………………………………………………………….</t>
  </si>
  <si>
    <t>(data i podpis kierownika jednostki)</t>
  </si>
  <si>
    <t xml:space="preserve">          (pieczęć jednostki)</t>
  </si>
  <si>
    <t>Wiersz</t>
  </si>
  <si>
    <t>Wyszczególnienie</t>
  </si>
  <si>
    <t>Dane za rok:</t>
  </si>
  <si>
    <t>Przychody netto ze sprzedaży i zrównane z nimi, w tym:</t>
  </si>
  <si>
    <t xml:space="preserve"> - od jednostek powiązanych</t>
  </si>
  <si>
    <t>Przychody netto ze sprzedaży produktów</t>
  </si>
  <si>
    <t>Zmiana stanu produktów (zwiększenie - wartość dodatnia, zmniejszenie - wartość ujemna</t>
  </si>
  <si>
    <t>Koszt wytworzenia produktów na własne potrzeby jednostki</t>
  </si>
  <si>
    <t>Przychody netto ze sprzedaży towarów i materiałów</t>
  </si>
  <si>
    <t>Koszty działalności operacyjnej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</si>
  <si>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</si>
  <si>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</si>
  <si>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</si>
  <si>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</si>
  <si>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</si>
  <si>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Wynagrodzenia</t>
  </si>
  <si>
    <t>Ubezpieczenia społeczne i inne świadczenia, w tym:</t>
  </si>
  <si>
    <t xml:space="preserve"> - emerytalne</t>
  </si>
  <si>
    <t>Pozostałe koszty rodzajowe</t>
  </si>
  <si>
    <t>VIII</t>
  </si>
  <si>
    <t>Wartość sprzedanych towarów i materiałów</t>
  </si>
  <si>
    <t>C</t>
  </si>
  <si>
    <t>Zysk (strata) ze sprzedaży (A - B)</t>
  </si>
  <si>
    <t>D</t>
  </si>
  <si>
    <t>Pozostałe przychody operacyjne</t>
  </si>
  <si>
    <t>Dotacje</t>
  </si>
  <si>
    <t>Aktualizacja wartości aktywów niefinansowych</t>
  </si>
  <si>
    <t>Inne przychody operacyjne</t>
  </si>
  <si>
    <t>E</t>
  </si>
  <si>
    <t>Pozostałe koszty operacyjne</t>
  </si>
  <si>
    <t>Inne koszty operacyjne</t>
  </si>
  <si>
    <t>F</t>
  </si>
  <si>
    <t>Zysk (strata) z działalności operacyjnej (C + D - E)</t>
  </si>
  <si>
    <t>G</t>
  </si>
  <si>
    <t>Przychody finansowe</t>
  </si>
  <si>
    <t>Dywidendy i udziały w zyskach, w tym:</t>
  </si>
  <si>
    <t xml:space="preserve">      - w których jednostka posiada zaangażowanie w kapitale</t>
  </si>
  <si>
    <t xml:space="preserve"> b) od jednostek pozostałych, w tym:</t>
  </si>
  <si>
    <t>Odsetki, w tym:</t>
  </si>
  <si>
    <t>Inne</t>
  </si>
  <si>
    <t>H</t>
  </si>
  <si>
    <t>Koszty finansowe</t>
  </si>
  <si>
    <t xml:space="preserve"> - dla jednostek powiązanych</t>
  </si>
  <si>
    <t>Zysk (strata) brutto (F + G - H)</t>
  </si>
  <si>
    <t>J</t>
  </si>
  <si>
    <t>Podatek dochodowy</t>
  </si>
  <si>
    <t>K</t>
  </si>
  <si>
    <t>Pozostałe obowiązkowe zmniejszenia zysku (zwiększenia straty)</t>
  </si>
  <si>
    <t>L</t>
  </si>
  <si>
    <t>Zysk (strata) netto (I - J - K)</t>
  </si>
  <si>
    <r>
      <t xml:space="preserve">Kapitał (fundusz) zapasowy, </t>
    </r>
    <r>
      <rPr>
        <sz val="11"/>
        <color indexed="8"/>
        <rFont val="Calibri"/>
        <family val="2"/>
        <charset val="238"/>
        <scheme val="minor"/>
      </rPr>
      <t>w tym:</t>
    </r>
  </si>
  <si>
    <r>
      <t xml:space="preserve">Kapitał (fundusz) z aktualizacji wyceny, </t>
    </r>
    <r>
      <rPr>
        <sz val="11"/>
        <rFont val="Calibri"/>
        <family val="2"/>
        <charset val="238"/>
        <scheme val="minor"/>
      </rPr>
      <t>w tym:</t>
    </r>
  </si>
  <si>
    <r>
      <t xml:space="preserve">Pozostałe kapitały (fundusze) rezerwowe, </t>
    </r>
    <r>
      <rPr>
        <sz val="11"/>
        <rFont val="Calibri"/>
        <family val="2"/>
        <charset val="238"/>
        <scheme val="minor"/>
      </rPr>
      <t>w tym:</t>
    </r>
  </si>
  <si>
    <t>Zysk z tytułu rozchodu niefinansowych aktywów trwałych</t>
  </si>
  <si>
    <t>Strata z tytułu rozchodu niefinansowych aktywów trwałych</t>
  </si>
  <si>
    <t xml:space="preserve"> a) od jednostek powiązanych, w tym:</t>
  </si>
  <si>
    <t>Zysk z tytułu rozchodu aktywów finansowych, w tym:</t>
  </si>
  <si>
    <t>Aktualizacja wartości aktywów finansowych</t>
  </si>
  <si>
    <t>Strata z tytułu rozchodu aktywów finansowych, w tym:</t>
  </si>
  <si>
    <t>I. Wskaźniki zyskowności</t>
  </si>
  <si>
    <t xml:space="preserve">II. Wskaźniki płynności </t>
  </si>
  <si>
    <t>1) wskaźnik bieżącej płynności</t>
  </si>
  <si>
    <t>III. Wskaźniki efektywności zarządzania przepływami pieniężnymi</t>
  </si>
  <si>
    <t>IV. Wskaźniki zadłużenia jednostki</t>
  </si>
  <si>
    <t>NAZWA WSKAŹNIKA</t>
  </si>
  <si>
    <t>WARTOŚĆ</t>
  </si>
  <si>
    <t>OCENA</t>
  </si>
  <si>
    <t>OCENA ŁĄCZNA</t>
  </si>
  <si>
    <t>RACHUNEK  ZYSKÓW  I  STRAT
sporządzony za okres od 01.01.2016 r. do 31.12.2016 r.
(wariant porównawczy)</t>
  </si>
  <si>
    <t xml:space="preserve">ANALIZA TRENDU </t>
  </si>
  <si>
    <t>I. WYNIK FINANSOWY</t>
  </si>
  <si>
    <t>II. MAJĄTEK TRWAŁY</t>
  </si>
  <si>
    <t>III. KAPITAŁ WŁASNY</t>
  </si>
  <si>
    <t>IV. WSKAŹNIKI EKONOMICZNO-FINANSOWE:</t>
  </si>
  <si>
    <t>1) wskaźnik zyskowności netto</t>
  </si>
  <si>
    <r>
      <rPr>
        <i/>
        <sz val="11"/>
        <color theme="1"/>
        <rFont val="Calibri"/>
        <family val="2"/>
        <charset val="238"/>
        <scheme val="minor"/>
      </rPr>
      <t>2) wskaźnik zyskowności działalności operacyjnej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</si>
  <si>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3) wskaźnik zyskowności aktywów</t>
  </si>
  <si>
    <t>2) wskaźnik szybkiej płynności</t>
  </si>
  <si>
    <t>1) wskaźnik rotacji należności</t>
  </si>
  <si>
    <t>2) wskaźnik rotacji zobowiązań</t>
  </si>
  <si>
    <t>1) wskaźnik zadłużenia aktywów</t>
  </si>
  <si>
    <t>2) wskaźnik wypłacalności</t>
  </si>
  <si>
    <r>
      <t xml:space="preserve">AKTYWA razem
</t>
    </r>
    <r>
      <rPr>
        <b/>
        <i/>
        <sz val="11"/>
        <rFont val="Calibri"/>
        <family val="2"/>
        <charset val="238"/>
        <scheme val="minor"/>
      </rPr>
      <t>(suma poz. A i B)</t>
    </r>
  </si>
  <si>
    <r>
      <t xml:space="preserve">PASYWA razem
</t>
    </r>
    <r>
      <rPr>
        <b/>
        <i/>
        <sz val="11"/>
        <rFont val="Calibri"/>
        <family val="2"/>
        <charset val="238"/>
        <scheme val="minor"/>
      </rPr>
      <t>(suma poz. A i B)</t>
    </r>
  </si>
  <si>
    <t>Dane w złotych</t>
  </si>
  <si>
    <t>Wartości niematerialne i prawne</t>
  </si>
  <si>
    <t>(data i podpis głównej księgowej)</t>
  </si>
  <si>
    <t>Różnica</t>
  </si>
  <si>
    <t>Dynamika</t>
  </si>
  <si>
    <t>poniżej 0,00%</t>
  </si>
  <si>
    <t>0,00% do 2,00%</t>
  </si>
  <si>
    <t>powyżej 4,00%</t>
  </si>
  <si>
    <t>PRZEDZIAŁY WARTOŚCI</t>
  </si>
  <si>
    <t>0,00% do 3,00%</t>
  </si>
  <si>
    <t>powyżej 5,00%</t>
  </si>
  <si>
    <t>poniżej 0,60</t>
  </si>
  <si>
    <t>0,6 do 1,00</t>
  </si>
  <si>
    <t>powyżej 3,0 lub jeżeli zobowiązania krótkoterminowe = 0 zł</t>
  </si>
  <si>
    <t>poniżej 0,50</t>
  </si>
  <si>
    <t>0,5 do 1,00</t>
  </si>
  <si>
    <t>powyżej 2,5 lub jeżeli zobowiązania krótkoterminowe = 0 zł</t>
  </si>
  <si>
    <t>poniżej 45 dni</t>
  </si>
  <si>
    <t>45 do 60 dni</t>
  </si>
  <si>
    <t>61 do 90 dni</t>
  </si>
  <si>
    <t>powyżej 90 dni</t>
  </si>
  <si>
    <t>do 60 dni</t>
  </si>
  <si>
    <t>poniżej 40%</t>
  </si>
  <si>
    <t>40% do 60%</t>
  </si>
  <si>
    <t>powyżej 80%</t>
  </si>
  <si>
    <t>0,00 do 0,50</t>
  </si>
  <si>
    <t>0,51 do 1,00</t>
  </si>
  <si>
    <t>1,01 do 2,00</t>
  </si>
  <si>
    <t>2,01 do 4,00</t>
  </si>
  <si>
    <t>powyżej 4,00 lub poniżej 0</t>
  </si>
  <si>
    <t>powyżej 2,00% do 4,00%</t>
  </si>
  <si>
    <t>powyżej 3,00% do 5,00%</t>
  </si>
  <si>
    <t>powyżej 1,00 do 1,5</t>
  </si>
  <si>
    <t>powyżej 1,5 do 3,0</t>
  </si>
  <si>
    <t>powyżej 1,00 do 2,5</t>
  </si>
  <si>
    <t>powyżej 60% do 80%</t>
  </si>
  <si>
    <t xml:space="preserve"> </t>
  </si>
  <si>
    <r>
      <t xml:space="preserve">2) wskaźnik szybkiej płynności </t>
    </r>
    <r>
      <rPr>
        <b/>
        <sz val="11"/>
        <color theme="1"/>
        <rFont val="Calibri"/>
        <family val="2"/>
        <charset val="238"/>
        <scheme val="minor"/>
      </rPr>
      <t xml:space="preserve">= 
(aktywa obrotowe-należności krótkoterminowe z tytułu dostaw i usług, o okresie spłaty powyżej 12 miesięcy - krótkoterminowe 
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rozliczenia międzyokresowe (czynne)-zapasy)                </t>
    </r>
    <r>
      <rPr>
        <b/>
        <sz val="11"/>
        <color theme="1"/>
        <rFont val="Calibri"/>
        <family val="2"/>
        <charset val="238"/>
        <scheme val="minor"/>
      </rPr>
      <t xml:space="preserve">
(zobowiązania krótkoterminowe - zobowiązania z tytułu dostaw i usług, o okresie wymagalności powyżej 12 miesięcy +rezerwy na zobowiązania krótkoterminowe)</t>
    </r>
  </si>
  <si>
    <r>
      <t xml:space="preserve">1) wskaźnik zadłużenia aktywów </t>
    </r>
    <r>
      <rPr>
        <b/>
        <sz val="11"/>
        <color theme="1"/>
        <rFont val="Calibri"/>
        <family val="2"/>
        <charset val="238"/>
        <scheme val="minor"/>
      </rPr>
      <t xml:space="preserve">=
zobowiązania długoterminowe + zobowiązania krótkoterminowe
          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+  rezerwy na zobowiązania                 </t>
    </r>
    <r>
      <rPr>
        <b/>
        <sz val="11"/>
        <color theme="1"/>
        <rFont val="Calibri"/>
        <family val="2"/>
        <charset val="238"/>
        <scheme val="minor"/>
      </rPr>
      <t xml:space="preserve">
                                               aktywa razem</t>
    </r>
  </si>
  <si>
    <r>
      <t xml:space="preserve">2) wskaźnik wypłacalności </t>
    </r>
    <r>
      <rPr>
        <b/>
        <sz val="11"/>
        <color theme="1"/>
        <rFont val="Calibri"/>
        <family val="2"/>
        <charset val="238"/>
        <scheme val="minor"/>
      </rPr>
      <t>= 
zobowiązania długoterminowe zobowiązania krótkoterminowe</t>
    </r>
    <r>
      <rPr>
        <b/>
        <i/>
        <sz val="11"/>
        <color theme="1"/>
        <rFont val="Calibri"/>
        <family val="2"/>
        <charset val="238"/>
        <scheme val="minor"/>
      </rPr>
      <t xml:space="preserve"> 
         </t>
    </r>
    <r>
      <rPr>
        <b/>
        <sz val="11"/>
        <color theme="1"/>
        <rFont val="Calibri"/>
        <family val="2"/>
        <charset val="238"/>
        <scheme val="minor"/>
      </rPr>
      <t xml:space="preserve">   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+ rezerwy na zobowiązania                      </t>
    </r>
    <r>
      <rPr>
        <b/>
        <sz val="11"/>
        <color theme="1"/>
        <rFont val="Calibri"/>
        <family val="2"/>
        <charset val="238"/>
        <scheme val="minor"/>
      </rPr>
      <t xml:space="preserve">
                                            fundusz własny</t>
    </r>
  </si>
  <si>
    <r>
      <t xml:space="preserve">1) wskaźnik bieżącej płynności </t>
    </r>
    <r>
      <rPr>
        <b/>
        <sz val="11"/>
        <color theme="1"/>
        <rFont val="Calibri"/>
        <family val="2"/>
        <charset val="238"/>
        <scheme val="minor"/>
      </rPr>
      <t xml:space="preserve">= 
aktywa obrotowe - należności krótkoterminowe z tytułu dostaw i usług, o okresie spłaty powyżej 12 miesięcy - krótkoterminowe 
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rozliczenia międzyokresowe (czynne)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zobowiązania krótkoterminowe - zobowiązania z tytułu dostaw i usług, o okresie wymagalności powyżej 12  miesięcy + rezerwy na zobowiązania krótkoterminowe</t>
    </r>
  </si>
  <si>
    <r>
      <rPr>
        <b/>
        <i/>
        <sz val="11"/>
        <color theme="1"/>
        <rFont val="Calibri"/>
        <family val="2"/>
        <charset val="238"/>
        <scheme val="minor"/>
      </rPr>
      <t>2) wskaźnik zyskowności działalności operacyjnej</t>
    </r>
    <r>
      <rPr>
        <b/>
        <sz val="11"/>
        <color theme="1"/>
        <rFont val="Calibri"/>
        <family val="2"/>
        <charset val="238"/>
        <scheme val="minor"/>
      </rPr>
      <t xml:space="preserve"> = 
 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wynik z działalności operacyjnej * 100%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towarów i materiałów + pozostałe przychody operacyjne</t>
    </r>
  </si>
  <si>
    <t>C.</t>
  </si>
  <si>
    <t>Należne wpłaty na kapitał (fundusz) podstawowy</t>
  </si>
  <si>
    <t>D.</t>
  </si>
  <si>
    <t>Udzały (akcje) własne</t>
  </si>
  <si>
    <r>
      <rPr>
        <b/>
        <i/>
        <sz val="11"/>
        <color theme="1"/>
        <rFont val="Calibri"/>
        <family val="2"/>
        <charset val="238"/>
        <scheme val="minor"/>
      </rPr>
      <t xml:space="preserve">3) wskaźnik zyskowności aktywów </t>
    </r>
    <r>
      <rPr>
        <b/>
        <sz val="11"/>
        <color theme="1"/>
        <rFont val="Calibri"/>
        <family val="2"/>
        <charset val="238"/>
        <scheme val="minor"/>
      </rPr>
      <t xml:space="preserve">= 
                   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wynik netto * 100%               </t>
    </r>
    <r>
      <rPr>
        <b/>
        <sz val="11"/>
        <color theme="1"/>
        <rFont val="Calibri"/>
        <family val="2"/>
        <charset val="238"/>
        <scheme val="minor"/>
      </rPr>
      <t xml:space="preserve">
                                           średni stan aktywów</t>
    </r>
  </si>
  <si>
    <r>
      <rPr>
        <b/>
        <i/>
        <sz val="11"/>
        <color theme="1"/>
        <rFont val="Calibri"/>
        <family val="2"/>
        <charset val="238"/>
        <scheme val="minor"/>
      </rPr>
      <t>1) wskaźnik zyskowności netto</t>
    </r>
    <r>
      <rPr>
        <b/>
        <sz val="11"/>
        <color theme="1"/>
        <rFont val="Calibri"/>
        <family val="2"/>
        <charset val="238"/>
        <scheme val="minor"/>
      </rPr>
      <t xml:space="preserve"> = </t>
    </r>
    <r>
      <rPr>
        <b/>
        <u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               wynik netto  * 100%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ze sprzedaży produktów + towarów i materiałów + pozostałe przychody operacyjne + przychody finansowe</t>
    </r>
  </si>
  <si>
    <r>
      <t xml:space="preserve">1) wskaźnik rotacji należności (w dniach) </t>
    </r>
    <r>
      <rPr>
        <b/>
        <sz val="11"/>
        <color theme="1"/>
        <rFont val="Calibri"/>
        <family val="2"/>
        <charset val="238"/>
        <scheme val="minor"/>
      </rPr>
      <t xml:space="preserve">=
średni stan należności z tytułu dostaw i usług x liczba dni 
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w okresie (365)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</si>
  <si>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r>
      <t xml:space="preserve">2) wskaźnik rotacji zobowiązań (w dniach) </t>
    </r>
    <r>
      <rPr>
        <b/>
        <sz val="11"/>
        <color theme="1"/>
        <rFont val="Calibri"/>
        <family val="2"/>
        <charset val="238"/>
        <scheme val="minor"/>
      </rPr>
      <t xml:space="preserve">= 
średni stan zobowiązań z tytułu dostaw i usług x liczba dni    
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w okresie (365)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</si>
  <si>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t>Wykonanie</t>
  </si>
  <si>
    <t>Wg Prognoz</t>
  </si>
  <si>
    <t>………………….………………………….</t>
  </si>
  <si>
    <t>………………………………….……………….</t>
  </si>
  <si>
    <t xml:space="preserve">    aktywa razem</t>
  </si>
  <si>
    <t xml:space="preserve">aktywa obrotowe - należności krótkoterminowe z tytułu dostaw i usług, o okresie spłaty powyżej 12 miesięcy - krótkoterminowe rozliczenia międzyokresowe (czynne)   </t>
  </si>
  <si>
    <t>zobowiązania krótkoterminowe - zobowiązania z tytułu dostaw i usług, o okresie wymagalności powyżej 12  miesięcy + rezerwy na zobowiązania krótkoterminowe</t>
  </si>
  <si>
    <t>Wskaźnik zadłużenia aktywów</t>
  </si>
  <si>
    <t>zobowiązania długoterminowe + zobowiązania krótkoterminowe +  rezerwy na zobowiązania</t>
  </si>
  <si>
    <t>zobowiązania długoterm. W aktywach</t>
  </si>
  <si>
    <t>Wskaźnik zadłużenia KW</t>
  </si>
  <si>
    <t>KW</t>
  </si>
  <si>
    <t>bieżącej płynności</t>
  </si>
  <si>
    <t>(aktywa obrotowe-należności krótkoterminowe z tytułu dostaw i usług, o okresie spłaty powyżej 12 miesięcy - krótkoterminowe rozliczenia międzyokresowe (czynne))</t>
  </si>
  <si>
    <t>(zobowiązania krótkoterminowe - zobowiązania z tytułu dostaw i usług, o okresie wymagalności powyżej 12 miesięcy +rezerwy na zobowiązania krótkoterminowe)</t>
  </si>
  <si>
    <t>Szybkiej płynności</t>
  </si>
  <si>
    <t>(aktywa obrotowe-należności krótkoterminowe z tytułu dostaw i usług, o okresie spłaty powyżej 12 miesięcy - krótkoterminowe rozliczenia międzyokresowe (czynne)-zapasy)</t>
  </si>
  <si>
    <t>Przychody netto ze sprzedaży i zrównane z nimi</t>
  </si>
  <si>
    <t>RAZEM</t>
  </si>
  <si>
    <t>Koszty działalności operacyjnej, 
w tym:</t>
  </si>
  <si>
    <t>Ubezpieczenia społeczne i inne świadczenia,
w tym:</t>
  </si>
  <si>
    <t>Zobowiązania i rezerwy na zobowiązaniaw, 
w tym:</t>
  </si>
  <si>
    <t xml:space="preserve">    Rezerwy na zobowiązania</t>
  </si>
  <si>
    <t xml:space="preserve">     Zobowiązania długoterminowe</t>
  </si>
  <si>
    <t xml:space="preserve">     Zobowiązania krótkoterminowe</t>
  </si>
  <si>
    <t xml:space="preserve">    Rozliczenia międzyokresowe</t>
  </si>
  <si>
    <t>Zobowiązania i rezerwy na zobowiązania, 
w tym:</t>
  </si>
  <si>
    <t xml:space="preserve">1) wskaźnik bieżącej płynności = </t>
  </si>
  <si>
    <t>wskażnik bieżącej płynności</t>
  </si>
  <si>
    <t xml:space="preserve">2) wskaźnik zyskowności działalności operacyjnej = </t>
  </si>
  <si>
    <t xml:space="preserve">                          wynik z działalności operacyjnej * 100%                     </t>
  </si>
  <si>
    <t>przychody netto ze sprzedaży towarów i materiałów + pozostałe przychody operacyjne</t>
  </si>
  <si>
    <t xml:space="preserve">3) wskaźnik zyskowności aktywów = </t>
  </si>
  <si>
    <t xml:space="preserve">  wynik netto * 100%       </t>
  </si>
  <si>
    <t xml:space="preserve">  średni stan aktywów</t>
  </si>
  <si>
    <t>WYSZCZEGÓLNIENIE</t>
  </si>
  <si>
    <t>Przychody ogółem</t>
  </si>
  <si>
    <t>Koszty ogółem</t>
  </si>
  <si>
    <t xml:space="preserve">Wynik finansowy netto </t>
  </si>
  <si>
    <t>Wynik finansowy netto powiększony o amortyzację</t>
  </si>
  <si>
    <t>Suma końcowa</t>
  </si>
  <si>
    <t>Przychody neto ze sprzedaży i zrównane z nimi</t>
  </si>
  <si>
    <t>-</t>
  </si>
  <si>
    <t xml:space="preserve">     Zobowiązania 
     długoterminowe</t>
  </si>
  <si>
    <t xml:space="preserve">     Zobowiązania 
     krótkoterminowe</t>
  </si>
  <si>
    <t xml:space="preserve">     Rozliczenia 
     międzyokresowe</t>
  </si>
  <si>
    <t>II. BILANS</t>
  </si>
  <si>
    <t>BILANS</t>
  </si>
  <si>
    <t>UWAGA!! Wprowadzone formuły pozwolą na automatyczne wyliczanie wskaźników. Wprowadzanie zmian lub kasowanie formuł może spowodować błędy w arkuszu</t>
  </si>
  <si>
    <r>
      <t xml:space="preserve">AKTYWA razem
</t>
    </r>
    <r>
      <rPr>
        <b/>
        <i/>
        <sz val="11"/>
        <rFont val="Calibri"/>
        <family val="2"/>
        <charset val="238"/>
        <scheme val="minor"/>
      </rPr>
      <t>(suma poz. A, B, C i D)</t>
    </r>
  </si>
  <si>
    <t>trend: rosnący</t>
  </si>
  <si>
    <t>trend: malejący</t>
  </si>
  <si>
    <t>trend: stały</t>
  </si>
  <si>
    <t>RACHUNEK  ZYSKÓW  I  STRAT</t>
  </si>
  <si>
    <r>
      <t xml:space="preserve">1) wskaźnik rotacji należności (w dniach) </t>
    </r>
    <r>
      <rPr>
        <b/>
        <sz val="11"/>
        <rFont val="Calibri"/>
        <family val="2"/>
        <charset val="238"/>
        <scheme val="minor"/>
      </rPr>
      <t xml:space="preserve">=
średni stan należności z tytułu dostaw i usług x liczba dni 
    </t>
    </r>
    <r>
      <rPr>
        <b/>
        <u/>
        <sz val="11"/>
        <rFont val="Calibri"/>
        <family val="2"/>
        <charset val="238"/>
        <scheme val="minor"/>
      </rPr>
      <t xml:space="preserve">                                w okresie (365)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</si>
  <si>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r>
      <t xml:space="preserve">2) wskaźnik rotacji zobowiązań (w dniach) </t>
    </r>
    <r>
      <rPr>
        <b/>
        <sz val="11"/>
        <rFont val="Calibri"/>
        <family val="2"/>
        <charset val="238"/>
        <scheme val="minor"/>
      </rPr>
      <t xml:space="preserve">= 
średni stan zobowiązań z tytułu dostaw i usług x liczba dni    
   </t>
    </r>
    <r>
      <rPr>
        <b/>
        <u/>
        <sz val="11"/>
        <rFont val="Calibri"/>
        <family val="2"/>
        <charset val="238"/>
        <scheme val="minor"/>
      </rPr>
      <t xml:space="preserve">                                  w okresie (365)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</si>
  <si>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r>
      <t xml:space="preserve">UWAGA!! Wprowadzone formuły powolą na automatyczne wyliczanie wskaźników. Wprowadzanie zmian lub kasowanie formuł może spowodować błędy w arkuszu
</t>
    </r>
    <r>
      <rPr>
        <b/>
        <sz val="13"/>
        <color rgb="FFFF0000"/>
        <rFont val="Calibri"/>
        <family val="2"/>
        <charset val="238"/>
        <scheme val="minor"/>
      </rPr>
      <t>Dane dotyczące WARTOŚCI wskaźników wg prognoz na 2021 proszę padać zgodnie z Raportem o sytuacji ekonomiczno-finansowej za rok 2020 - Ocena wyliczy się sama</t>
    </r>
  </si>
  <si>
    <t>Różnica 2022-2021</t>
  </si>
  <si>
    <t>Różnica 31.12.2024-31.12.2023</t>
  </si>
  <si>
    <t>2022 wg prognozy</t>
  </si>
  <si>
    <t>2022 wg wykonania</t>
  </si>
  <si>
    <t>Analiza wskaźnikowa za 2022 rok - wykonanie a prognoza</t>
  </si>
  <si>
    <t>Różnica 2023-2022</t>
  </si>
  <si>
    <t>Różnica 31.12.2025-31.12.2024</t>
  </si>
  <si>
    <r>
      <t xml:space="preserve">1) wskaźnik rotacji należności (w dniach) </t>
    </r>
    <r>
      <rPr>
        <b/>
        <sz val="11"/>
        <color theme="1"/>
        <rFont val="Calibri"/>
        <family val="2"/>
        <charset val="238"/>
        <scheme val="minor"/>
      </rPr>
      <t xml:space="preserve">=
średni stan należności z tytułu dostaw i usług x liczba dni 
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w okresie </t>
    </r>
    <r>
      <rPr>
        <b/>
        <u/>
        <sz val="11"/>
        <color rgb="FFFF0000"/>
        <rFont val="Calibri"/>
        <family val="2"/>
        <charset val="238"/>
        <scheme val="minor"/>
      </rPr>
      <t xml:space="preserve">(366)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</si>
  <si>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r>
      <t xml:space="preserve">2) wskaźnik rotacji zobowiązań (w dniach) </t>
    </r>
    <r>
      <rPr>
        <b/>
        <sz val="11"/>
        <color theme="1"/>
        <rFont val="Calibri"/>
        <family val="2"/>
        <charset val="238"/>
        <scheme val="minor"/>
      </rPr>
      <t xml:space="preserve">= 
średni stan zobowiązań z tytułu dostaw i usług x liczba dni    
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w okresie </t>
    </r>
    <r>
      <rPr>
        <b/>
        <u/>
        <sz val="11"/>
        <color rgb="FFFF0000"/>
        <rFont val="Calibri"/>
        <family val="2"/>
        <charset val="238"/>
        <scheme val="minor"/>
      </rPr>
      <t>(366)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</si>
  <si>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r>
      <t xml:space="preserve">1) wskaźnik rotacji należności (w dniach) </t>
    </r>
    <r>
      <rPr>
        <b/>
        <sz val="11"/>
        <color theme="1"/>
        <rFont val="Calibri"/>
        <family val="2"/>
        <charset val="238"/>
        <scheme val="minor"/>
      </rPr>
      <t xml:space="preserve">=
średni stan należności z tytułu dostaw i usług x liczba dni 
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</t>
    </r>
    <r>
      <rPr>
        <b/>
        <u/>
        <sz val="11"/>
        <rFont val="Calibri"/>
        <family val="2"/>
        <charset val="238"/>
        <scheme val="minor"/>
      </rPr>
      <t xml:space="preserve">   w okresie (365)         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</si>
  <si>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r>
      <t xml:space="preserve">2) wskaźnik rotacji zobowiązań (w dniach) </t>
    </r>
    <r>
      <rPr>
        <b/>
        <sz val="11"/>
        <color theme="1"/>
        <rFont val="Calibri"/>
        <family val="2"/>
        <charset val="238"/>
        <scheme val="minor"/>
      </rPr>
      <t xml:space="preserve">= 
średni stan zobowiązań z tytułu dostaw i usług x liczba dni    
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</t>
    </r>
    <r>
      <rPr>
        <b/>
        <u/>
        <sz val="11"/>
        <rFont val="Calibri"/>
        <family val="2"/>
        <charset val="238"/>
        <scheme val="minor"/>
      </rPr>
      <t xml:space="preserve">    w okresie (365)       </t>
    </r>
    <r>
      <rPr>
        <b/>
        <u/>
        <sz val="11"/>
        <color theme="1"/>
        <rFont val="Calibri"/>
        <family val="2"/>
        <charset val="238"/>
        <scheme val="minor"/>
      </rPr>
      <t xml:space="preserve">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przychody netto ze sprzedaży produktów+przychody netto ze sprzedaży towarów i materiałów</t>
    </r>
  </si>
  <si>
    <t>Dynamika 2025/2022</t>
  </si>
  <si>
    <t>Różnica 2025-2022</t>
  </si>
  <si>
    <t>Załącznik nr1A</t>
  </si>
  <si>
    <t>Załącznik nr !B</t>
  </si>
  <si>
    <t>Załącznik nr 2</t>
  </si>
  <si>
    <t>Załącznik nr 3</t>
  </si>
  <si>
    <t>Załącznik nr 4A</t>
  </si>
  <si>
    <t>Załącznik nr 4B</t>
  </si>
  <si>
    <t>Załącznik nr 5</t>
  </si>
  <si>
    <t>Załącznik nr 6</t>
  </si>
  <si>
    <t>Załącznik nr 7A</t>
  </si>
  <si>
    <t>Załącznik nr 7B</t>
  </si>
  <si>
    <t>Załącznik nr 8</t>
  </si>
  <si>
    <t>Załącznik nr 9</t>
  </si>
  <si>
    <t>Załącznik nr 10A</t>
  </si>
  <si>
    <t>Załącznik nr 10B</t>
  </si>
  <si>
    <t>Załącznik nr 11</t>
  </si>
  <si>
    <t>Załącznik nr 12</t>
  </si>
  <si>
    <t>Załącznik nr 13A</t>
  </si>
  <si>
    <t>Załącznik nr 13B</t>
  </si>
  <si>
    <t>Załącznik nr 14</t>
  </si>
  <si>
    <t>Załącznik nr 15</t>
  </si>
  <si>
    <t>Załącznik nr 16</t>
  </si>
  <si>
    <t>wnioski: zawarte w części opisowej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</si>
</sst>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#,##0.00_ ;[Red]\-#,##0.00\ "/>
    <numFmt numFmtId="166" formatCode="[$-415]General"/>
    <numFmt numFmtId="167" formatCode="0.0%"/>
  </numFmts>
  <fonts count="52">
    <font>
      <sz val="11"/>
      <color theme="1"/>
      <name val="Calibri"/>
      <family val="2"/>
      <charset val="238"/>
      <scheme val="minor"/>
    </font>
    <font>
      <sz val="11"/>
      <color indexed="8"/>
      <name val="Arial Unicode MS"/>
      <family val="2"/>
      <charset val="238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0"/>
      <name val="Arial Unicode MS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i/>
      <sz val="7"/>
      <name val="Arial"/>
      <family val="2"/>
      <charset val="238"/>
    </font>
    <font>
      <b/>
      <i/>
      <sz val="7"/>
      <color theme="1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9" fontId="10" fillId="0" borderId="0" applyFont="0" applyFill="0" applyBorder="0" applyAlignment="0" applyProtection="0"/>
    <xf numFmtId="166" fontId="23" fillId="0" borderId="0"/>
    <xf numFmtId="0" fontId="24" fillId="0" borderId="0"/>
    <xf numFmtId="9" fontId="24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7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top"/>
    </xf>
    <xf numFmtId="0" fontId="5" fillId="2" borderId="11" xfId="0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165" fontId="2" fillId="0" borderId="17" xfId="0" applyNumberFormat="1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165" fontId="7" fillId="0" borderId="2" xfId="0" applyNumberFormat="1" applyFont="1" applyBorder="1" applyAlignment="1">
      <alignment vertical="center"/>
    </xf>
    <xf numFmtId="0" fontId="5" fillId="3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vertical="center" wrapText="1"/>
    </xf>
    <xf numFmtId="165" fontId="8" fillId="0" borderId="23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165" fontId="5" fillId="0" borderId="17" xfId="0" applyNumberFormat="1" applyFont="1" applyBorder="1" applyAlignment="1">
      <alignment vertical="center"/>
    </xf>
    <xf numFmtId="165" fontId="5" fillId="0" borderId="13" xfId="0" applyNumberFormat="1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165" fontId="5" fillId="0" borderId="7" xfId="0" applyNumberFormat="1" applyFont="1" applyBorder="1" applyAlignment="1">
      <alignment vertical="center"/>
    </xf>
    <xf numFmtId="0" fontId="5" fillId="2" borderId="13" xfId="0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165" fontId="8" fillId="0" borderId="17" xfId="0" applyNumberFormat="1" applyFont="1" applyBorder="1" applyAlignment="1">
      <alignment vertical="center"/>
    </xf>
    <xf numFmtId="0" fontId="8" fillId="0" borderId="17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vertical="center"/>
    </xf>
    <xf numFmtId="0" fontId="5" fillId="3" borderId="28" xfId="0" applyFont="1" applyFill="1" applyBorder="1" applyAlignment="1">
      <alignment horizontal="center" vertical="center"/>
    </xf>
    <xf numFmtId="165" fontId="5" fillId="3" borderId="32" xfId="0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165" fontId="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3" borderId="34" xfId="0" applyFont="1" applyFill="1" applyBorder="1" applyAlignment="1">
      <alignment horizontal="center" vertical="center"/>
    </xf>
    <xf numFmtId="4" fontId="5" fillId="3" borderId="25" xfId="0" applyNumberFormat="1" applyFont="1" applyFill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vertical="center"/>
    </xf>
    <xf numFmtId="0" fontId="8" fillId="0" borderId="37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4" fontId="8" fillId="0" borderId="30" xfId="0" applyNumberFormat="1" applyFont="1" applyBorder="1" applyAlignment="1">
      <alignment vertical="center"/>
    </xf>
    <xf numFmtId="0" fontId="7" fillId="3" borderId="34" xfId="0" applyFont="1" applyFill="1" applyBorder="1" applyAlignment="1">
      <alignment horizontal="center" vertical="center"/>
    </xf>
    <xf numFmtId="4" fontId="7" fillId="3" borderId="25" xfId="0" applyNumberFormat="1" applyFont="1" applyFill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4" fontId="8" fillId="0" borderId="24" xfId="0" applyNumberFormat="1" applyFont="1" applyBorder="1" applyAlignment="1">
      <alignment vertical="center"/>
    </xf>
    <xf numFmtId="0" fontId="7" fillId="3" borderId="27" xfId="0" applyFont="1" applyFill="1" applyBorder="1" applyAlignment="1">
      <alignment horizontal="center" vertical="center"/>
    </xf>
    <xf numFmtId="4" fontId="7" fillId="3" borderId="20" xfId="0" applyNumberFormat="1" applyFont="1" applyFill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165" fontId="7" fillId="0" borderId="17" xfId="0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65" fontId="5" fillId="3" borderId="13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38" xfId="0" applyBorder="1"/>
    <xf numFmtId="4" fontId="7" fillId="2" borderId="13" xfId="0" applyNumberFormat="1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165" fontId="7" fillId="5" borderId="13" xfId="0" applyNumberFormat="1" applyFont="1" applyFill="1" applyBorder="1" applyAlignment="1">
      <alignment vertical="center"/>
    </xf>
    <xf numFmtId="0" fontId="11" fillId="0" borderId="38" xfId="0" applyFont="1" applyBorder="1" applyAlignment="1">
      <alignment wrapText="1"/>
    </xf>
    <xf numFmtId="0" fontId="0" fillId="0" borderId="38" xfId="0" applyBorder="1" applyAlignment="1">
      <alignment wrapText="1"/>
    </xf>
    <xf numFmtId="165" fontId="5" fillId="3" borderId="44" xfId="0" applyNumberFormat="1" applyFont="1" applyFill="1" applyBorder="1" applyAlignment="1">
      <alignment vertical="center"/>
    </xf>
    <xf numFmtId="165" fontId="2" fillId="0" borderId="45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5" fillId="0" borderId="45" xfId="0" applyNumberFormat="1" applyFont="1" applyBorder="1" applyAlignment="1">
      <alignment vertical="center"/>
    </xf>
    <xf numFmtId="165" fontId="5" fillId="0" borderId="10" xfId="0" applyNumberFormat="1" applyFont="1" applyBorder="1" applyAlignment="1">
      <alignment vertical="center"/>
    </xf>
    <xf numFmtId="165" fontId="8" fillId="0" borderId="45" xfId="0" applyNumberFormat="1" applyFont="1" applyBorder="1" applyAlignment="1">
      <alignment vertical="center"/>
    </xf>
    <xf numFmtId="165" fontId="5" fillId="3" borderId="46" xfId="0" applyNumberFormat="1" applyFont="1" applyFill="1" applyBorder="1" applyAlignment="1">
      <alignment vertical="center"/>
    </xf>
    <xf numFmtId="165" fontId="2" fillId="0" borderId="44" xfId="0" applyNumberFormat="1" applyFont="1" applyBorder="1" applyAlignment="1">
      <alignment vertical="center"/>
    </xf>
    <xf numFmtId="165" fontId="7" fillId="0" borderId="45" xfId="0" applyNumberFormat="1" applyFont="1" applyBorder="1" applyAlignment="1">
      <alignment vertical="center"/>
    </xf>
    <xf numFmtId="165" fontId="5" fillId="3" borderId="48" xfId="0" applyNumberFormat="1" applyFont="1" applyFill="1" applyBorder="1" applyAlignment="1">
      <alignment vertical="center"/>
    </xf>
    <xf numFmtId="165" fontId="7" fillId="5" borderId="48" xfId="0" applyNumberFormat="1" applyFont="1" applyFill="1" applyBorder="1" applyAlignment="1">
      <alignment vertical="center"/>
    </xf>
    <xf numFmtId="0" fontId="5" fillId="2" borderId="4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1" fillId="9" borderId="38" xfId="0" applyFont="1" applyFill="1" applyBorder="1" applyAlignment="1">
      <alignment wrapText="1"/>
    </xf>
    <xf numFmtId="0" fontId="11" fillId="0" borderId="36" xfId="0" applyFont="1" applyBorder="1" applyAlignment="1">
      <alignment horizontal="left" vertical="center" wrapText="1"/>
    </xf>
    <xf numFmtId="0" fontId="11" fillId="0" borderId="45" xfId="0" applyFont="1" applyBorder="1" applyAlignment="1">
      <alignment wrapText="1"/>
    </xf>
    <xf numFmtId="0" fontId="0" fillId="0" borderId="52" xfId="0" applyBorder="1"/>
    <xf numFmtId="0" fontId="11" fillId="6" borderId="39" xfId="0" applyFont="1" applyFill="1" applyBorder="1" applyAlignment="1">
      <alignment wrapText="1"/>
    </xf>
    <xf numFmtId="0" fontId="7" fillId="9" borderId="38" xfId="0" applyFont="1" applyFill="1" applyBorder="1" applyAlignment="1">
      <alignment wrapText="1"/>
    </xf>
    <xf numFmtId="0" fontId="15" fillId="0" borderId="38" xfId="0" applyFont="1" applyBorder="1" applyAlignment="1">
      <alignment wrapText="1"/>
    </xf>
    <xf numFmtId="0" fontId="16" fillId="0" borderId="38" xfId="0" applyFont="1" applyBorder="1" applyAlignment="1">
      <alignment wrapText="1"/>
    </xf>
    <xf numFmtId="0" fontId="15" fillId="0" borderId="0" xfId="0" applyFont="1"/>
    <xf numFmtId="0" fontId="14" fillId="0" borderId="36" xfId="0" applyFont="1" applyBorder="1" applyAlignment="1">
      <alignment horizontal="center" wrapText="1"/>
    </xf>
    <xf numFmtId="0" fontId="0" fillId="9" borderId="38" xfId="0" applyFill="1" applyBorder="1"/>
    <xf numFmtId="0" fontId="16" fillId="9" borderId="38" xfId="0" applyFont="1" applyFill="1" applyBorder="1" applyAlignment="1">
      <alignment wrapText="1"/>
    </xf>
    <xf numFmtId="0" fontId="15" fillId="0" borderId="36" xfId="0" applyFont="1" applyBorder="1" applyAlignment="1">
      <alignment wrapText="1"/>
    </xf>
    <xf numFmtId="0" fontId="15" fillId="9" borderId="38" xfId="0" applyFont="1" applyFill="1" applyBorder="1" applyAlignment="1">
      <alignment horizontal="center" vertical="center"/>
    </xf>
    <xf numFmtId="0" fontId="15" fillId="9" borderId="38" xfId="0" applyFont="1" applyFill="1" applyBorder="1" applyAlignment="1">
      <alignment horizontal="left" vertical="center"/>
    </xf>
    <xf numFmtId="0" fontId="0" fillId="7" borderId="12" xfId="0" applyFill="1" applyBorder="1"/>
    <xf numFmtId="4" fontId="0" fillId="7" borderId="34" xfId="0" applyNumberFormat="1" applyFill="1" applyBorder="1" applyAlignment="1">
      <alignment vertical="center"/>
    </xf>
    <xf numFmtId="10" fontId="0" fillId="7" borderId="25" xfId="0" applyNumberFormat="1" applyFill="1" applyBorder="1" applyAlignment="1">
      <alignment vertical="center"/>
    </xf>
    <xf numFmtId="165" fontId="5" fillId="0" borderId="44" xfId="0" applyNumberFormat="1" applyFont="1" applyBorder="1" applyAlignment="1">
      <alignment vertical="center"/>
    </xf>
    <xf numFmtId="165" fontId="7" fillId="0" borderId="44" xfId="0" applyNumberFormat="1" applyFont="1" applyBorder="1" applyAlignment="1">
      <alignment vertical="center"/>
    </xf>
    <xf numFmtId="165" fontId="8" fillId="0" borderId="47" xfId="0" applyNumberFormat="1" applyFont="1" applyBorder="1" applyAlignment="1">
      <alignment vertical="center"/>
    </xf>
    <xf numFmtId="165" fontId="5" fillId="2" borderId="48" xfId="0" applyNumberFormat="1" applyFont="1" applyFill="1" applyBorder="1" applyAlignment="1">
      <alignment vertical="center"/>
    </xf>
    <xf numFmtId="165" fontId="2" fillId="0" borderId="47" xfId="0" applyNumberFormat="1" applyFont="1" applyBorder="1" applyAlignment="1">
      <alignment vertical="center"/>
    </xf>
    <xf numFmtId="4" fontId="11" fillId="5" borderId="34" xfId="0" applyNumberFormat="1" applyFont="1" applyFill="1" applyBorder="1" applyAlignment="1">
      <alignment vertical="center"/>
    </xf>
    <xf numFmtId="10" fontId="11" fillId="5" borderId="25" xfId="0" applyNumberFormat="1" applyFont="1" applyFill="1" applyBorder="1" applyAlignment="1">
      <alignment vertical="center"/>
    </xf>
    <xf numFmtId="165" fontId="5" fillId="7" borderId="34" xfId="0" applyNumberFormat="1" applyFont="1" applyFill="1" applyBorder="1" applyAlignment="1">
      <alignment vertical="center"/>
    </xf>
    <xf numFmtId="10" fontId="5" fillId="7" borderId="25" xfId="0" applyNumberFormat="1" applyFont="1" applyFill="1" applyBorder="1" applyAlignment="1">
      <alignment vertical="center"/>
    </xf>
    <xf numFmtId="0" fontId="11" fillId="9" borderId="38" xfId="0" applyFont="1" applyFill="1" applyBorder="1" applyAlignment="1">
      <alignment horizontal="left" wrapText="1"/>
    </xf>
    <xf numFmtId="0" fontId="16" fillId="9" borderId="38" xfId="0" applyFont="1" applyFill="1" applyBorder="1" applyAlignment="1">
      <alignment horizontal="left" wrapText="1"/>
    </xf>
    <xf numFmtId="0" fontId="11" fillId="9" borderId="38" xfId="0" applyFont="1" applyFill="1" applyBorder="1" applyAlignment="1">
      <alignment horizontal="left"/>
    </xf>
    <xf numFmtId="0" fontId="0" fillId="0" borderId="36" xfId="0" applyBorder="1" applyAlignment="1">
      <alignment horizontal="center" vertical="center"/>
    </xf>
    <xf numFmtId="0" fontId="11" fillId="5" borderId="13" xfId="0" applyFont="1" applyFill="1" applyBorder="1" applyAlignment="1">
      <alignment horizontal="center" wrapText="1"/>
    </xf>
    <xf numFmtId="0" fontId="11" fillId="5" borderId="41" xfId="0" applyFont="1" applyFill="1" applyBorder="1" applyAlignment="1">
      <alignment horizontal="center"/>
    </xf>
    <xf numFmtId="0" fontId="11" fillId="5" borderId="42" xfId="0" applyFont="1" applyFill="1" applyBorder="1" applyAlignment="1">
      <alignment horizontal="center" vertical="center"/>
    </xf>
    <xf numFmtId="0" fontId="11" fillId="9" borderId="38" xfId="0" applyFont="1" applyFill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0" fillId="0" borderId="38" xfId="0" applyBorder="1" applyAlignment="1">
      <alignment vertical="center"/>
    </xf>
    <xf numFmtId="0" fontId="11" fillId="0" borderId="38" xfId="0" applyFont="1" applyBorder="1" applyAlignment="1">
      <alignment vertical="center"/>
    </xf>
    <xf numFmtId="0" fontId="11" fillId="9" borderId="38" xfId="0" applyFont="1" applyFill="1" applyBorder="1" applyAlignment="1">
      <alignment horizontal="right" vertical="center"/>
    </xf>
    <xf numFmtId="10" fontId="0" fillId="0" borderId="38" xfId="0" applyNumberFormat="1" applyBorder="1"/>
    <xf numFmtId="9" fontId="0" fillId="0" borderId="38" xfId="0" applyNumberFormat="1" applyBorder="1"/>
    <xf numFmtId="0" fontId="11" fillId="9" borderId="38" xfId="0" applyFont="1" applyFill="1" applyBorder="1" applyAlignment="1">
      <alignment vertical="center" wrapText="1"/>
    </xf>
    <xf numFmtId="0" fontId="11" fillId="6" borderId="38" xfId="0" applyFont="1" applyFill="1" applyBorder="1" applyAlignment="1">
      <alignment vertical="center" wrapText="1"/>
    </xf>
    <xf numFmtId="0" fontId="15" fillId="9" borderId="38" xfId="0" applyFont="1" applyFill="1" applyBorder="1" applyAlignment="1">
      <alignment vertical="center"/>
    </xf>
    <xf numFmtId="0" fontId="15" fillId="0" borderId="38" xfId="0" applyFont="1" applyBorder="1" applyAlignment="1">
      <alignment vertical="center" wrapText="1"/>
    </xf>
    <xf numFmtId="0" fontId="15" fillId="9" borderId="36" xfId="0" applyFont="1" applyFill="1" applyBorder="1" applyAlignment="1">
      <alignment vertical="center"/>
    </xf>
    <xf numFmtId="0" fontId="16" fillId="9" borderId="38" xfId="0" applyFont="1" applyFill="1" applyBorder="1" applyAlignment="1">
      <alignment vertical="center" wrapText="1"/>
    </xf>
    <xf numFmtId="0" fontId="16" fillId="0" borderId="38" xfId="0" applyFont="1" applyBorder="1" applyAlignment="1">
      <alignment vertical="center" wrapText="1"/>
    </xf>
    <xf numFmtId="0" fontId="15" fillId="0" borderId="36" xfId="0" applyFont="1" applyBorder="1" applyAlignment="1">
      <alignment vertical="center" wrapText="1"/>
    </xf>
    <xf numFmtId="0" fontId="16" fillId="9" borderId="38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36" xfId="0" applyBorder="1"/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165" fontId="2" fillId="0" borderId="23" xfId="0" applyNumberFormat="1" applyFont="1" applyBorder="1" applyAlignment="1">
      <alignment vertical="center"/>
    </xf>
    <xf numFmtId="10" fontId="5" fillId="7" borderId="20" xfId="0" applyNumberFormat="1" applyFont="1" applyFill="1" applyBorder="1" applyAlignment="1">
      <alignment vertical="center"/>
    </xf>
    <xf numFmtId="10" fontId="5" fillId="8" borderId="4" xfId="0" applyNumberFormat="1" applyFont="1" applyFill="1" applyBorder="1" applyAlignment="1">
      <alignment vertical="center"/>
    </xf>
    <xf numFmtId="10" fontId="5" fillId="7" borderId="4" xfId="0" applyNumberFormat="1" applyFont="1" applyFill="1" applyBorder="1" applyAlignment="1">
      <alignment vertical="center"/>
    </xf>
    <xf numFmtId="165" fontId="7" fillId="0" borderId="47" xfId="0" applyNumberFormat="1" applyFont="1" applyBorder="1" applyAlignment="1">
      <alignment vertical="center"/>
    </xf>
    <xf numFmtId="4" fontId="11" fillId="8" borderId="34" xfId="0" applyNumberFormat="1" applyFont="1" applyFill="1" applyBorder="1" applyAlignment="1">
      <alignment vertical="center"/>
    </xf>
    <xf numFmtId="10" fontId="11" fillId="8" borderId="25" xfId="0" applyNumberFormat="1" applyFont="1" applyFill="1" applyBorder="1" applyAlignment="1">
      <alignment vertical="center"/>
    </xf>
    <xf numFmtId="4" fontId="0" fillId="0" borderId="34" xfId="0" applyNumberFormat="1" applyBorder="1" applyAlignment="1">
      <alignment vertical="center"/>
    </xf>
    <xf numFmtId="10" fontId="0" fillId="0" borderId="25" xfId="0" applyNumberFormat="1" applyBorder="1" applyAlignment="1">
      <alignment vertical="center"/>
    </xf>
    <xf numFmtId="4" fontId="0" fillId="0" borderId="31" xfId="0" applyNumberFormat="1" applyBorder="1" applyAlignment="1">
      <alignment vertical="center"/>
    </xf>
    <xf numFmtId="10" fontId="0" fillId="0" borderId="24" xfId="0" applyNumberFormat="1" applyBorder="1" applyAlignment="1">
      <alignment vertical="center"/>
    </xf>
    <xf numFmtId="4" fontId="0" fillId="0" borderId="37" xfId="0" applyNumberFormat="1" applyBorder="1" applyAlignment="1">
      <alignment vertical="center"/>
    </xf>
    <xf numFmtId="10" fontId="0" fillId="0" borderId="18" xfId="0" applyNumberFormat="1" applyBorder="1" applyAlignment="1">
      <alignment vertical="center"/>
    </xf>
    <xf numFmtId="4" fontId="0" fillId="0" borderId="54" xfId="0" applyNumberFormat="1" applyBorder="1" applyAlignment="1">
      <alignment vertical="center"/>
    </xf>
    <xf numFmtId="10" fontId="0" fillId="0" borderId="8" xfId="0" applyNumberFormat="1" applyBorder="1" applyAlignment="1">
      <alignment vertical="center"/>
    </xf>
    <xf numFmtId="4" fontId="0" fillId="0" borderId="29" xfId="0" applyNumberFormat="1" applyBorder="1" applyAlignment="1">
      <alignment vertical="center"/>
    </xf>
    <xf numFmtId="10" fontId="0" fillId="0" borderId="30" xfId="0" applyNumberFormat="1" applyBorder="1" applyAlignment="1">
      <alignment vertical="center"/>
    </xf>
    <xf numFmtId="4" fontId="0" fillId="7" borderId="31" xfId="0" applyNumberFormat="1" applyFill="1" applyBorder="1" applyAlignment="1">
      <alignment vertical="center"/>
    </xf>
    <xf numFmtId="10" fontId="0" fillId="7" borderId="24" xfId="0" applyNumberFormat="1" applyFill="1" applyBorder="1" applyAlignment="1">
      <alignment vertical="center"/>
    </xf>
    <xf numFmtId="165" fontId="2" fillId="0" borderId="18" xfId="0" applyNumberFormat="1" applyFont="1" applyBorder="1" applyAlignment="1">
      <alignment vertical="center"/>
    </xf>
    <xf numFmtId="4" fontId="11" fillId="7" borderId="3" xfId="0" applyNumberFormat="1" applyFont="1" applyFill="1" applyBorder="1" applyAlignment="1">
      <alignment vertical="center"/>
    </xf>
    <xf numFmtId="10" fontId="11" fillId="7" borderId="4" xfId="0" applyNumberFormat="1" applyFont="1" applyFill="1" applyBorder="1" applyAlignment="1">
      <alignment vertical="center"/>
    </xf>
    <xf numFmtId="165" fontId="8" fillId="0" borderId="18" xfId="0" applyNumberFormat="1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165" fontId="2" fillId="0" borderId="24" xfId="0" applyNumberFormat="1" applyFont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10" fontId="5" fillId="10" borderId="20" xfId="0" applyNumberFormat="1" applyFont="1" applyFill="1" applyBorder="1" applyAlignment="1">
      <alignment vertical="center"/>
    </xf>
    <xf numFmtId="10" fontId="5" fillId="6" borderId="24" xfId="0" applyNumberFormat="1" applyFont="1" applyFill="1" applyBorder="1" applyAlignment="1">
      <alignment vertical="center"/>
    </xf>
    <xf numFmtId="10" fontId="5" fillId="6" borderId="18" xfId="0" applyNumberFormat="1" applyFont="1" applyFill="1" applyBorder="1" applyAlignment="1">
      <alignment vertical="center"/>
    </xf>
    <xf numFmtId="10" fontId="5" fillId="6" borderId="30" xfId="0" applyNumberFormat="1" applyFont="1" applyFill="1" applyBorder="1" applyAlignment="1">
      <alignment vertical="center"/>
    </xf>
    <xf numFmtId="0" fontId="5" fillId="3" borderId="23" xfId="0" applyFont="1" applyFill="1" applyBorder="1" applyAlignment="1">
      <alignment vertical="center" wrapText="1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3" borderId="32" xfId="0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10" fontId="5" fillId="5" borderId="20" xfId="0" applyNumberFormat="1" applyFont="1" applyFill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15" fillId="9" borderId="45" xfId="0" applyFont="1" applyFill="1" applyBorder="1" applyAlignment="1">
      <alignment horizontal="center" vertical="center"/>
    </xf>
    <xf numFmtId="0" fontId="15" fillId="9" borderId="47" xfId="0" applyFont="1" applyFill="1" applyBorder="1" applyAlignment="1">
      <alignment horizontal="center" vertical="center"/>
    </xf>
    <xf numFmtId="0" fontId="15" fillId="9" borderId="38" xfId="0" applyFont="1" applyFill="1" applyBorder="1" applyAlignment="1">
      <alignment vertical="center" wrapText="1"/>
    </xf>
    <xf numFmtId="0" fontId="0" fillId="6" borderId="50" xfId="0" applyFill="1" applyBorder="1" applyAlignment="1">
      <alignment vertical="center" wrapText="1"/>
    </xf>
    <xf numFmtId="0" fontId="0" fillId="6" borderId="55" xfId="0" applyFill="1" applyBorder="1" applyAlignment="1">
      <alignment horizontal="center" vertical="center"/>
    </xf>
    <xf numFmtId="3" fontId="0" fillId="0" borderId="36" xfId="0" applyNumberFormat="1" applyBorder="1"/>
    <xf numFmtId="0" fontId="15" fillId="6" borderId="38" xfId="0" applyFont="1" applyFill="1" applyBorder="1" applyAlignment="1">
      <alignment vertical="center"/>
    </xf>
    <xf numFmtId="0" fontId="15" fillId="6" borderId="38" xfId="0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165" fontId="8" fillId="0" borderId="29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165" fontId="5" fillId="0" borderId="26" xfId="0" applyNumberFormat="1" applyFont="1" applyBorder="1" applyAlignment="1">
      <alignment vertical="center"/>
    </xf>
    <xf numFmtId="165" fontId="5" fillId="0" borderId="56" xfId="0" applyNumberFormat="1" applyFont="1" applyBorder="1" applyAlignment="1">
      <alignment vertical="center"/>
    </xf>
    <xf numFmtId="4" fontId="0" fillId="0" borderId="26" xfId="0" applyNumberFormat="1" applyBorder="1" applyAlignment="1">
      <alignment vertical="center"/>
    </xf>
    <xf numFmtId="10" fontId="0" fillId="0" borderId="56" xfId="0" applyNumberForma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165" fontId="8" fillId="0" borderId="30" xfId="0" applyNumberFormat="1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5" fillId="0" borderId="40" xfId="0" applyNumberFormat="1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165" fontId="8" fillId="0" borderId="46" xfId="0" applyNumberFormat="1" applyFont="1" applyBorder="1" applyAlignment="1">
      <alignment vertical="center"/>
    </xf>
    <xf numFmtId="165" fontId="5" fillId="6" borderId="31" xfId="0" applyNumberFormat="1" applyFont="1" applyFill="1" applyBorder="1" applyAlignment="1">
      <alignment vertical="center"/>
    </xf>
    <xf numFmtId="165" fontId="5" fillId="6" borderId="37" xfId="0" applyNumberFormat="1" applyFont="1" applyFill="1" applyBorder="1" applyAlignment="1">
      <alignment vertical="center"/>
    </xf>
    <xf numFmtId="165" fontId="5" fillId="6" borderId="29" xfId="0" applyNumberFormat="1" applyFont="1" applyFill="1" applyBorder="1" applyAlignment="1">
      <alignment vertical="center"/>
    </xf>
    <xf numFmtId="165" fontId="5" fillId="3" borderId="54" xfId="0" applyNumberFormat="1" applyFont="1" applyFill="1" applyBorder="1" applyAlignment="1">
      <alignment vertical="center"/>
    </xf>
    <xf numFmtId="165" fontId="5" fillId="5" borderId="27" xfId="0" applyNumberFormat="1" applyFont="1" applyFill="1" applyBorder="1" applyAlignment="1">
      <alignment vertical="center"/>
    </xf>
    <xf numFmtId="4" fontId="5" fillId="2" borderId="25" xfId="0" applyNumberFormat="1" applyFont="1" applyFill="1" applyBorder="1" applyAlignment="1">
      <alignment vertical="center"/>
    </xf>
    <xf numFmtId="10" fontId="0" fillId="6" borderId="18" xfId="0" applyNumberFormat="1" applyFill="1" applyBorder="1" applyAlignment="1">
      <alignment vertical="center"/>
    </xf>
    <xf numFmtId="10" fontId="0" fillId="6" borderId="30" xfId="0" applyNumberFormat="1" applyFill="1" applyBorder="1" applyAlignment="1">
      <alignment vertical="center"/>
    </xf>
    <xf numFmtId="10" fontId="0" fillId="6" borderId="24" xfId="0" applyNumberFormat="1" applyFill="1" applyBorder="1" applyAlignment="1">
      <alignment vertical="center"/>
    </xf>
    <xf numFmtId="4" fontId="0" fillId="6" borderId="37" xfId="0" applyNumberFormat="1" applyFill="1" applyBorder="1" applyAlignment="1">
      <alignment vertical="center"/>
    </xf>
    <xf numFmtId="4" fontId="0" fillId="6" borderId="29" xfId="0" applyNumberFormat="1" applyFill="1" applyBorder="1" applyAlignment="1">
      <alignment vertical="center"/>
    </xf>
    <xf numFmtId="4" fontId="0" fillId="6" borderId="31" xfId="0" applyNumberFormat="1" applyFill="1" applyBorder="1" applyAlignment="1">
      <alignment vertical="center"/>
    </xf>
    <xf numFmtId="4" fontId="0" fillId="7" borderId="27" xfId="0" applyNumberFormat="1" applyFill="1" applyBorder="1" applyAlignment="1">
      <alignment vertical="center"/>
    </xf>
    <xf numFmtId="10" fontId="0" fillId="7" borderId="20" xfId="0" applyNumberFormat="1" applyFill="1" applyBorder="1" applyAlignment="1">
      <alignment vertical="center"/>
    </xf>
    <xf numFmtId="0" fontId="5" fillId="3" borderId="48" xfId="0" applyFont="1" applyFill="1" applyBorder="1" applyAlignment="1">
      <alignment vertical="center" wrapText="1"/>
    </xf>
    <xf numFmtId="0" fontId="2" fillId="0" borderId="47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7" fillId="3" borderId="48" xfId="0" applyFont="1" applyFill="1" applyBorder="1" applyAlignment="1">
      <alignment vertical="center" wrapText="1"/>
    </xf>
    <xf numFmtId="0" fontId="8" fillId="0" borderId="47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8" fillId="0" borderId="46" xfId="0" applyFont="1" applyBorder="1" applyAlignment="1">
      <alignment vertical="center"/>
    </xf>
    <xf numFmtId="0" fontId="8" fillId="0" borderId="47" xfId="0" applyFont="1" applyBorder="1" applyAlignment="1">
      <alignment vertical="center" wrapText="1"/>
    </xf>
    <xf numFmtId="0" fontId="7" fillId="3" borderId="49" xfId="0" applyFont="1" applyFill="1" applyBorder="1" applyAlignment="1">
      <alignment vertical="center" wrapText="1"/>
    </xf>
    <xf numFmtId="0" fontId="2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5" fillId="0" borderId="46" xfId="0" applyFont="1" applyBorder="1" applyAlignment="1">
      <alignment vertical="center" wrapText="1"/>
    </xf>
    <xf numFmtId="4" fontId="5" fillId="3" borderId="13" xfId="0" applyNumberFormat="1" applyFont="1" applyFill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" fontId="7" fillId="3" borderId="13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vertical="center"/>
    </xf>
    <xf numFmtId="4" fontId="7" fillId="3" borderId="9" xfId="0" applyNumberFormat="1" applyFont="1" applyFill="1" applyBorder="1" applyAlignment="1">
      <alignment vertical="center"/>
    </xf>
    <xf numFmtId="4" fontId="2" fillId="0" borderId="32" xfId="0" applyNumberFormat="1" applyFont="1" applyBorder="1" applyAlignment="1">
      <alignment vertical="center"/>
    </xf>
    <xf numFmtId="0" fontId="5" fillId="3" borderId="5" xfId="0" applyFont="1" applyFill="1" applyBorder="1" applyAlignment="1">
      <alignment vertical="center" wrapText="1"/>
    </xf>
    <xf numFmtId="165" fontId="5" fillId="2" borderId="4" xfId="0" applyNumberFormat="1" applyFont="1" applyFill="1" applyBorder="1" applyAlignment="1">
      <alignment vertical="center"/>
    </xf>
    <xf numFmtId="165" fontId="5" fillId="2" borderId="25" xfId="0" applyNumberFormat="1" applyFont="1" applyFill="1" applyBorder="1" applyAlignment="1">
      <alignment vertical="center"/>
    </xf>
    <xf numFmtId="4" fontId="0" fillId="0" borderId="38" xfId="0" applyNumberFormat="1" applyBorder="1"/>
    <xf numFmtId="10" fontId="0" fillId="0" borderId="38" xfId="1" applyNumberFormat="1" applyFont="1" applyBorder="1" applyAlignment="1">
      <alignment horizontal="center" vertical="center"/>
    </xf>
    <xf numFmtId="0" fontId="11" fillId="9" borderId="36" xfId="0" applyFont="1" applyFill="1" applyBorder="1" applyAlignment="1">
      <alignment vertical="center"/>
    </xf>
    <xf numFmtId="0" fontId="11" fillId="5" borderId="59" xfId="0" applyFont="1" applyFill="1" applyBorder="1" applyAlignment="1">
      <alignment horizontal="center" vertical="center"/>
    </xf>
    <xf numFmtId="10" fontId="0" fillId="0" borderId="38" xfId="1" applyNumberFormat="1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 wrapText="1"/>
    </xf>
    <xf numFmtId="0" fontId="11" fillId="5" borderId="58" xfId="0" applyFont="1" applyFill="1" applyBorder="1" applyAlignment="1">
      <alignment horizontal="center" vertical="center"/>
    </xf>
    <xf numFmtId="0" fontId="0" fillId="9" borderId="36" xfId="0" applyFill="1" applyBorder="1" applyAlignment="1">
      <alignment vertical="center"/>
    </xf>
    <xf numFmtId="0" fontId="11" fillId="6" borderId="39" xfId="0" applyFont="1" applyFill="1" applyBorder="1" applyAlignment="1">
      <alignment vertical="center" wrapText="1"/>
    </xf>
    <xf numFmtId="0" fontId="11" fillId="0" borderId="45" xfId="0" applyFont="1" applyBorder="1" applyAlignment="1">
      <alignment vertical="center" wrapText="1"/>
    </xf>
    <xf numFmtId="0" fontId="0" fillId="0" borderId="52" xfId="0" applyBorder="1" applyAlignment="1">
      <alignment vertical="center"/>
    </xf>
    <xf numFmtId="0" fontId="0" fillId="0" borderId="38" xfId="0" applyBorder="1" applyAlignment="1">
      <alignment vertical="center" wrapText="1"/>
    </xf>
    <xf numFmtId="10" fontId="0" fillId="0" borderId="38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0" fontId="7" fillId="9" borderId="38" xfId="0" applyFont="1" applyFill="1" applyBorder="1" applyAlignment="1">
      <alignment vertical="center" wrapText="1"/>
    </xf>
    <xf numFmtId="0" fontId="0" fillId="9" borderId="38" xfId="0" applyFill="1" applyBorder="1" applyAlignment="1">
      <alignment vertical="center"/>
    </xf>
    <xf numFmtId="4" fontId="0" fillId="0" borderId="38" xfId="0" applyNumberFormat="1" applyBorder="1" applyAlignment="1">
      <alignment vertical="center"/>
    </xf>
    <xf numFmtId="0" fontId="15" fillId="0" borderId="0" xfId="0" applyFont="1" applyAlignment="1">
      <alignment vertical="center"/>
    </xf>
    <xf numFmtId="0" fontId="11" fillId="0" borderId="38" xfId="0" applyFont="1" applyBorder="1" applyAlignment="1">
      <alignment vertical="center" wrapText="1"/>
    </xf>
    <xf numFmtId="0" fontId="14" fillId="0" borderId="36" xfId="0" applyFont="1" applyBorder="1" applyAlignment="1">
      <alignment horizontal="center" vertical="center" wrapText="1"/>
    </xf>
    <xf numFmtId="3" fontId="0" fillId="0" borderId="36" xfId="0" applyNumberFormat="1" applyBorder="1" applyAlignment="1">
      <alignment vertical="center"/>
    </xf>
    <xf numFmtId="9" fontId="0" fillId="0" borderId="38" xfId="0" applyNumberFormat="1" applyBorder="1" applyAlignment="1">
      <alignment vertical="center"/>
    </xf>
    <xf numFmtId="0" fontId="11" fillId="9" borderId="38" xfId="0" applyFont="1" applyFill="1" applyBorder="1" applyAlignment="1">
      <alignment horizontal="left" vertical="center" wrapText="1"/>
    </xf>
    <xf numFmtId="0" fontId="11" fillId="9" borderId="38" xfId="0" applyFont="1" applyFill="1" applyBorder="1" applyAlignment="1">
      <alignment horizontal="left" vertical="center"/>
    </xf>
    <xf numFmtId="165" fontId="5" fillId="3" borderId="4" xfId="0" applyNumberFormat="1" applyFont="1" applyFill="1" applyBorder="1" applyAlignment="1">
      <alignment vertical="center"/>
    </xf>
    <xf numFmtId="4" fontId="7" fillId="0" borderId="44" xfId="0" applyNumberFormat="1" applyFont="1" applyBorder="1" applyAlignment="1">
      <alignment vertical="center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right"/>
    </xf>
    <xf numFmtId="0" fontId="7" fillId="5" borderId="2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7" fillId="5" borderId="26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vertical="center"/>
    </xf>
    <xf numFmtId="4" fontId="5" fillId="2" borderId="35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165" fontId="5" fillId="0" borderId="61" xfId="0" applyNumberFormat="1" applyFont="1" applyBorder="1" applyAlignment="1">
      <alignment vertical="center"/>
    </xf>
    <xf numFmtId="165" fontId="5" fillId="0" borderId="4" xfId="0" applyNumberFormat="1" applyFont="1" applyBorder="1" applyAlignment="1">
      <alignment vertical="center"/>
    </xf>
    <xf numFmtId="0" fontId="8" fillId="0" borderId="29" xfId="0" applyFont="1" applyBorder="1" applyAlignment="1">
      <alignment vertical="center" wrapText="1"/>
    </xf>
    <xf numFmtId="165" fontId="8" fillId="0" borderId="57" xfId="0" applyNumberFormat="1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165" fontId="7" fillId="0" borderId="36" xfId="0" applyNumberFormat="1" applyFont="1" applyBorder="1" applyAlignment="1">
      <alignment vertical="center"/>
    </xf>
    <xf numFmtId="165" fontId="7" fillId="0" borderId="24" xfId="0" applyNumberFormat="1" applyFont="1" applyBorder="1" applyAlignment="1">
      <alignment vertical="center"/>
    </xf>
    <xf numFmtId="0" fontId="8" fillId="0" borderId="31" xfId="0" applyFont="1" applyBorder="1" applyAlignment="1">
      <alignment vertical="center" wrapText="1"/>
    </xf>
    <xf numFmtId="165" fontId="8" fillId="0" borderId="36" xfId="0" applyNumberFormat="1" applyFont="1" applyBorder="1" applyAlignment="1">
      <alignment vertical="center"/>
    </xf>
    <xf numFmtId="165" fontId="8" fillId="0" borderId="24" xfId="0" applyNumberFormat="1" applyFont="1" applyBorder="1" applyAlignment="1">
      <alignment vertical="center"/>
    </xf>
    <xf numFmtId="165" fontId="7" fillId="0" borderId="61" xfId="0" applyNumberFormat="1" applyFont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4" fontId="6" fillId="0" borderId="61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165" fontId="5" fillId="0" borderId="35" xfId="0" applyNumberFormat="1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vertical="center" wrapText="1"/>
    </xf>
    <xf numFmtId="165" fontId="5" fillId="0" borderId="60" xfId="0" applyNumberFormat="1" applyFont="1" applyBorder="1" applyAlignment="1">
      <alignment vertical="center"/>
    </xf>
    <xf numFmtId="0" fontId="5" fillId="2" borderId="34" xfId="0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vertical="center" wrapText="1"/>
    </xf>
    <xf numFmtId="165" fontId="5" fillId="3" borderId="61" xfId="0" applyNumberFormat="1" applyFont="1" applyFill="1" applyBorder="1" applyAlignment="1">
      <alignment vertical="center"/>
    </xf>
    <xf numFmtId="0" fontId="2" fillId="0" borderId="37" xfId="0" applyFont="1" applyBorder="1" applyAlignment="1">
      <alignment vertical="center" wrapText="1"/>
    </xf>
    <xf numFmtId="165" fontId="2" fillId="0" borderId="38" xfId="0" applyNumberFormat="1" applyFont="1" applyBorder="1" applyAlignment="1">
      <alignment vertical="center"/>
    </xf>
    <xf numFmtId="0" fontId="8" fillId="0" borderId="32" xfId="0" applyFont="1" applyBorder="1" applyAlignment="1">
      <alignment horizontal="left" vertical="center" wrapText="1"/>
    </xf>
    <xf numFmtId="165" fontId="2" fillId="0" borderId="57" xfId="0" applyNumberFormat="1" applyFont="1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165" fontId="8" fillId="0" borderId="39" xfId="0" applyNumberFormat="1" applyFont="1" applyBorder="1" applyAlignment="1">
      <alignment vertical="center"/>
    </xf>
    <xf numFmtId="0" fontId="8" fillId="0" borderId="32" xfId="0" applyFont="1" applyBorder="1" applyAlignment="1">
      <alignment vertical="center" wrapText="1"/>
    </xf>
    <xf numFmtId="0" fontId="2" fillId="0" borderId="37" xfId="0" applyFont="1" applyBorder="1" applyAlignment="1">
      <alignment vertical="center"/>
    </xf>
    <xf numFmtId="0" fontId="8" fillId="0" borderId="37" xfId="0" applyFont="1" applyBorder="1" applyAlignment="1">
      <alignment vertical="center" wrapText="1"/>
    </xf>
    <xf numFmtId="165" fontId="8" fillId="0" borderId="38" xfId="0" applyNumberFormat="1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2" fillId="0" borderId="31" xfId="0" applyFont="1" applyBorder="1" applyAlignment="1">
      <alignment vertical="center" wrapText="1"/>
    </xf>
    <xf numFmtId="165" fontId="2" fillId="0" borderId="36" xfId="0" applyNumberFormat="1" applyFont="1" applyBorder="1" applyAlignment="1">
      <alignment vertical="center"/>
    </xf>
    <xf numFmtId="0" fontId="2" fillId="0" borderId="54" xfId="0" applyFont="1" applyBorder="1" applyAlignment="1">
      <alignment vertical="center" wrapText="1"/>
    </xf>
    <xf numFmtId="165" fontId="7" fillId="5" borderId="35" xfId="0" applyNumberFormat="1" applyFont="1" applyFill="1" applyBorder="1" applyAlignment="1">
      <alignment vertical="center"/>
    </xf>
    <xf numFmtId="165" fontId="7" fillId="5" borderId="25" xfId="0" applyNumberFormat="1" applyFont="1" applyFill="1" applyBorder="1" applyAlignment="1">
      <alignment vertical="center"/>
    </xf>
    <xf numFmtId="166" fontId="23" fillId="0" borderId="0" xfId="2" applyAlignment="1">
      <alignment horizontal="center"/>
    </xf>
    <xf numFmtId="166" fontId="23" fillId="0" borderId="0" xfId="2"/>
    <xf numFmtId="4" fontId="23" fillId="0" borderId="0" xfId="2" applyNumberFormat="1" applyAlignment="1">
      <alignment vertical="center"/>
    </xf>
    <xf numFmtId="0" fontId="24" fillId="0" borderId="0" xfId="3"/>
    <xf numFmtId="166" fontId="23" fillId="0" borderId="0" xfId="2" applyAlignment="1">
      <alignment vertical="center" wrapText="1"/>
    </xf>
    <xf numFmtId="166" fontId="23" fillId="0" borderId="0" xfId="2" applyAlignment="1">
      <alignment vertical="center"/>
    </xf>
    <xf numFmtId="166" fontId="23" fillId="0" borderId="0" xfId="2" applyAlignment="1">
      <alignment horizontal="center" vertical="center"/>
    </xf>
    <xf numFmtId="0" fontId="11" fillId="0" borderId="0" xfId="0" applyFont="1"/>
    <xf numFmtId="165" fontId="0" fillId="0" borderId="0" xfId="0" applyNumberFormat="1"/>
    <xf numFmtId="4" fontId="0" fillId="0" borderId="0" xfId="0" applyNumberFormat="1"/>
    <xf numFmtId="0" fontId="7" fillId="5" borderId="56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/>
    </xf>
    <xf numFmtId="4" fontId="5" fillId="3" borderId="35" xfId="0" applyNumberFormat="1" applyFont="1" applyFill="1" applyBorder="1" applyAlignment="1">
      <alignment vertical="center"/>
    </xf>
    <xf numFmtId="4" fontId="12" fillId="7" borderId="12" xfId="0" applyNumberFormat="1" applyFont="1" applyFill="1" applyBorder="1" applyAlignment="1">
      <alignment vertical="center"/>
    </xf>
    <xf numFmtId="4" fontId="25" fillId="7" borderId="12" xfId="0" applyNumberFormat="1" applyFont="1" applyFill="1" applyBorder="1" applyAlignment="1">
      <alignment vertical="center"/>
    </xf>
    <xf numFmtId="4" fontId="12" fillId="11" borderId="22" xfId="0" applyNumberFormat="1" applyFont="1" applyFill="1" applyBorder="1" applyAlignment="1">
      <alignment vertical="center"/>
    </xf>
    <xf numFmtId="4" fontId="2" fillId="0" borderId="62" xfId="0" applyNumberFormat="1" applyFont="1" applyBorder="1" applyAlignment="1">
      <alignment vertical="center"/>
    </xf>
    <xf numFmtId="4" fontId="26" fillId="11" borderId="15" xfId="0" applyNumberFormat="1" applyFont="1" applyFill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12" fillId="11" borderId="15" xfId="0" applyNumberFormat="1" applyFont="1" applyFill="1" applyBorder="1" applyAlignment="1">
      <alignment vertical="center"/>
    </xf>
    <xf numFmtId="4" fontId="8" fillId="0" borderId="16" xfId="0" applyNumberFormat="1" applyFont="1" applyBorder="1" applyAlignment="1">
      <alignment vertical="center"/>
    </xf>
    <xf numFmtId="4" fontId="12" fillId="11" borderId="28" xfId="0" applyNumberFormat="1" applyFont="1" applyFill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7" fillId="3" borderId="41" xfId="0" applyNumberFormat="1" applyFont="1" applyFill="1" applyBorder="1" applyAlignment="1">
      <alignment vertical="center"/>
    </xf>
    <xf numFmtId="4" fontId="8" fillId="0" borderId="62" xfId="0" applyNumberFormat="1" applyFont="1" applyBorder="1" applyAlignment="1">
      <alignment vertical="center"/>
    </xf>
    <xf numFmtId="4" fontId="26" fillId="11" borderId="22" xfId="0" applyNumberFormat="1" applyFont="1" applyFill="1" applyBorder="1" applyAlignment="1">
      <alignment vertical="center"/>
    </xf>
    <xf numFmtId="4" fontId="12" fillId="7" borderId="64" xfId="0" applyNumberFormat="1" applyFont="1" applyFill="1" applyBorder="1" applyAlignment="1">
      <alignment vertical="center"/>
    </xf>
    <xf numFmtId="4" fontId="26" fillId="11" borderId="28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2" fillId="0" borderId="63" xfId="0" applyNumberFormat="1" applyFont="1" applyBorder="1" applyAlignment="1">
      <alignment vertical="center"/>
    </xf>
    <xf numFmtId="4" fontId="5" fillId="3" borderId="41" xfId="0" applyNumberFormat="1" applyFont="1" applyFill="1" applyBorder="1" applyAlignment="1">
      <alignment vertical="center"/>
    </xf>
    <xf numFmtId="4" fontId="22" fillId="12" borderId="18" xfId="0" applyNumberFormat="1" applyFont="1" applyFill="1" applyBorder="1" applyAlignment="1">
      <alignment vertical="center"/>
    </xf>
    <xf numFmtId="4" fontId="26" fillId="12" borderId="15" xfId="0" applyNumberFormat="1" applyFont="1" applyFill="1" applyBorder="1" applyAlignment="1">
      <alignment vertical="center"/>
    </xf>
    <xf numFmtId="4" fontId="22" fillId="12" borderId="16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5" applyFont="1" applyAlignment="1">
      <alignment vertical="center"/>
    </xf>
    <xf numFmtId="0" fontId="0" fillId="0" borderId="62" xfId="0" applyBorder="1" applyAlignment="1">
      <alignment horizontal="center" vertical="center" wrapText="1"/>
    </xf>
    <xf numFmtId="9" fontId="0" fillId="0" borderId="0" xfId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10" fontId="0" fillId="0" borderId="0" xfId="1" applyNumberFormat="1" applyFont="1" applyAlignment="1">
      <alignment vertical="center"/>
    </xf>
    <xf numFmtId="0" fontId="29" fillId="0" borderId="0" xfId="0" applyFont="1" applyAlignment="1">
      <alignment horizontal="right" vertical="center"/>
    </xf>
    <xf numFmtId="0" fontId="27" fillId="7" borderId="38" xfId="0" applyFont="1" applyFill="1" applyBorder="1" applyAlignment="1">
      <alignment horizontal="center" vertical="center"/>
    </xf>
    <xf numFmtId="0" fontId="27" fillId="7" borderId="38" xfId="0" applyFont="1" applyFill="1" applyBorder="1" applyAlignment="1">
      <alignment horizontal="center" vertical="center" wrapText="1"/>
    </xf>
    <xf numFmtId="0" fontId="30" fillId="7" borderId="38" xfId="0" applyFont="1" applyFill="1" applyBorder="1" applyAlignment="1">
      <alignment horizontal="center" vertical="center" wrapText="1"/>
    </xf>
    <xf numFmtId="0" fontId="31" fillId="0" borderId="38" xfId="0" applyFont="1" applyBorder="1" applyAlignment="1">
      <alignment vertical="center" wrapText="1"/>
    </xf>
    <xf numFmtId="4" fontId="31" fillId="0" borderId="38" xfId="0" applyNumberFormat="1" applyFont="1" applyBorder="1" applyAlignment="1">
      <alignment vertical="center"/>
    </xf>
    <xf numFmtId="4" fontId="31" fillId="7" borderId="38" xfId="0" applyNumberFormat="1" applyFont="1" applyFill="1" applyBorder="1" applyAlignment="1">
      <alignment vertical="center"/>
    </xf>
    <xf numFmtId="10" fontId="31" fillId="7" borderId="38" xfId="1" applyNumberFormat="1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4" fontId="27" fillId="7" borderId="38" xfId="0" applyNumberFormat="1" applyFont="1" applyFill="1" applyBorder="1" applyAlignment="1">
      <alignment vertical="center"/>
    </xf>
    <xf numFmtId="10" fontId="27" fillId="7" borderId="38" xfId="1" applyNumberFormat="1" applyFont="1" applyFill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4" fontId="31" fillId="0" borderId="0" xfId="0" applyNumberFormat="1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10" fontId="0" fillId="0" borderId="0" xfId="1" applyNumberFormat="1" applyFont="1" applyFill="1" applyBorder="1" applyAlignment="1">
      <alignment vertical="center"/>
    </xf>
    <xf numFmtId="4" fontId="32" fillId="7" borderId="38" xfId="0" applyNumberFormat="1" applyFont="1" applyFill="1" applyBorder="1" applyAlignment="1">
      <alignment vertical="center"/>
    </xf>
    <xf numFmtId="4" fontId="33" fillId="7" borderId="38" xfId="0" applyNumberFormat="1" applyFont="1" applyFill="1" applyBorder="1" applyAlignment="1">
      <alignment vertical="center"/>
    </xf>
    <xf numFmtId="4" fontId="28" fillId="7" borderId="38" xfId="0" applyNumberFormat="1" applyFont="1" applyFill="1" applyBorder="1" applyAlignment="1">
      <alignment vertical="center"/>
    </xf>
    <xf numFmtId="0" fontId="33" fillId="7" borderId="38" xfId="0" applyFont="1" applyFill="1" applyBorder="1" applyAlignment="1">
      <alignment vertical="center" wrapText="1"/>
    </xf>
    <xf numFmtId="10" fontId="33" fillId="7" borderId="38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165" fontId="0" fillId="0" borderId="0" xfId="0" applyNumberFormat="1" applyAlignment="1">
      <alignment horizontal="center"/>
    </xf>
    <xf numFmtId="0" fontId="0" fillId="0" borderId="62" xfId="0" applyBorder="1"/>
    <xf numFmtId="10" fontId="0" fillId="0" borderId="0" xfId="4" applyNumberFormat="1" applyFont="1"/>
    <xf numFmtId="0" fontId="11" fillId="0" borderId="0" xfId="0" applyFont="1" applyAlignment="1">
      <alignment wrapText="1"/>
    </xf>
    <xf numFmtId="0" fontId="0" fillId="0" borderId="62" xfId="0" applyBorder="1" applyAlignment="1">
      <alignment horizontal="center" vertical="center"/>
    </xf>
    <xf numFmtId="9" fontId="0" fillId="0" borderId="0" xfId="4" applyFont="1" applyAlignment="1">
      <alignment vertical="center"/>
    </xf>
    <xf numFmtId="167" fontId="0" fillId="0" borderId="0" xfId="4" applyNumberFormat="1" applyFont="1"/>
    <xf numFmtId="9" fontId="0" fillId="0" borderId="0" xfId="4" applyFont="1"/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36" fillId="13" borderId="38" xfId="0" applyFont="1" applyFill="1" applyBorder="1" applyAlignment="1">
      <alignment horizontal="center" vertical="center" wrapText="1"/>
    </xf>
    <xf numFmtId="0" fontId="36" fillId="13" borderId="38" xfId="0" applyFont="1" applyFill="1" applyBorder="1" applyAlignment="1">
      <alignment horizontal="center" vertical="center"/>
    </xf>
    <xf numFmtId="0" fontId="35" fillId="0" borderId="38" xfId="0" applyFont="1" applyBorder="1" applyAlignment="1">
      <alignment vertical="center" wrapText="1"/>
    </xf>
    <xf numFmtId="4" fontId="35" fillId="0" borderId="38" xfId="0" applyNumberFormat="1" applyFont="1" applyBorder="1" applyAlignment="1">
      <alignment horizontal="right" vertical="center"/>
    </xf>
    <xf numFmtId="10" fontId="35" fillId="0" borderId="38" xfId="0" applyNumberFormat="1" applyFont="1" applyBorder="1" applyAlignment="1">
      <alignment horizontal="center" vertical="center"/>
    </xf>
    <xf numFmtId="165" fontId="36" fillId="13" borderId="38" xfId="0" applyNumberFormat="1" applyFont="1" applyFill="1" applyBorder="1" applyAlignment="1">
      <alignment horizontal="right" vertical="center"/>
    </xf>
    <xf numFmtId="10" fontId="36" fillId="13" borderId="38" xfId="0" applyNumberFormat="1" applyFont="1" applyFill="1" applyBorder="1" applyAlignment="1">
      <alignment horizontal="center" vertical="center"/>
    </xf>
    <xf numFmtId="0" fontId="39" fillId="13" borderId="38" xfId="0" applyFont="1" applyFill="1" applyBorder="1" applyAlignment="1">
      <alignment horizontal="center" vertical="center"/>
    </xf>
    <xf numFmtId="0" fontId="40" fillId="0" borderId="38" xfId="0" applyFont="1" applyBorder="1" applyAlignment="1">
      <alignment vertical="center"/>
    </xf>
    <xf numFmtId="4" fontId="39" fillId="13" borderId="38" xfId="0" applyNumberFormat="1" applyFont="1" applyFill="1" applyBorder="1" applyAlignment="1">
      <alignment horizontal="right" vertical="center"/>
    </xf>
    <xf numFmtId="10" fontId="28" fillId="0" borderId="0" xfId="1" applyNumberFormat="1" applyFont="1" applyFill="1" applyAlignment="1">
      <alignment vertical="center"/>
    </xf>
    <xf numFmtId="0" fontId="41" fillId="13" borderId="38" xfId="0" applyFont="1" applyFill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2" fillId="0" borderId="38" xfId="0" applyFont="1" applyBorder="1" applyAlignment="1">
      <alignment vertical="center" wrapText="1"/>
    </xf>
    <xf numFmtId="4" fontId="42" fillId="0" borderId="38" xfId="0" applyNumberFormat="1" applyFont="1" applyBorder="1" applyAlignment="1">
      <alignment horizontal="right" vertical="center"/>
    </xf>
    <xf numFmtId="4" fontId="42" fillId="14" borderId="38" xfId="0" applyNumberFormat="1" applyFont="1" applyFill="1" applyBorder="1" applyAlignment="1">
      <alignment horizontal="right" vertical="center"/>
    </xf>
    <xf numFmtId="10" fontId="42" fillId="0" borderId="38" xfId="1" applyNumberFormat="1" applyFont="1" applyBorder="1" applyAlignment="1">
      <alignment horizontal="center" vertical="center"/>
    </xf>
    <xf numFmtId="4" fontId="43" fillId="14" borderId="38" xfId="0" applyNumberFormat="1" applyFont="1" applyFill="1" applyBorder="1" applyAlignment="1">
      <alignment horizontal="right" vertical="center"/>
    </xf>
    <xf numFmtId="4" fontId="41" fillId="14" borderId="38" xfId="0" applyNumberFormat="1" applyFont="1" applyFill="1" applyBorder="1" applyAlignment="1">
      <alignment horizontal="right" vertical="center"/>
    </xf>
    <xf numFmtId="165" fontId="41" fillId="13" borderId="38" xfId="0" applyNumberFormat="1" applyFont="1" applyFill="1" applyBorder="1" applyAlignment="1">
      <alignment horizontal="right" vertical="center"/>
    </xf>
    <xf numFmtId="4" fontId="41" fillId="15" borderId="38" xfId="0" applyNumberFormat="1" applyFont="1" applyFill="1" applyBorder="1" applyAlignment="1">
      <alignment horizontal="right" vertical="center"/>
    </xf>
    <xf numFmtId="10" fontId="41" fillId="15" borderId="38" xfId="1" applyNumberFormat="1" applyFont="1" applyFill="1" applyBorder="1" applyAlignment="1">
      <alignment horizontal="center" vertical="center"/>
    </xf>
    <xf numFmtId="4" fontId="44" fillId="13" borderId="38" xfId="0" applyNumberFormat="1" applyFont="1" applyFill="1" applyBorder="1" applyAlignment="1">
      <alignment horizontal="right" vertical="center"/>
    </xf>
    <xf numFmtId="0" fontId="42" fillId="0" borderId="0" xfId="0" applyFont="1" applyAlignment="1">
      <alignment vertical="center" wrapText="1"/>
    </xf>
    <xf numFmtId="0" fontId="41" fillId="0" borderId="0" xfId="0" applyFont="1" applyAlignment="1">
      <alignment vertical="center"/>
    </xf>
    <xf numFmtId="0" fontId="46" fillId="11" borderId="38" xfId="0" applyFont="1" applyFill="1" applyBorder="1" applyAlignment="1">
      <alignment vertical="center" wrapText="1"/>
    </xf>
    <xf numFmtId="4" fontId="47" fillId="11" borderId="38" xfId="0" applyNumberFormat="1" applyFont="1" applyFill="1" applyBorder="1" applyAlignment="1">
      <alignment vertical="center"/>
    </xf>
    <xf numFmtId="10" fontId="48" fillId="11" borderId="38" xfId="1" applyNumberFormat="1" applyFont="1" applyFill="1" applyBorder="1" applyAlignment="1">
      <alignment horizontal="center" vertical="center"/>
    </xf>
    <xf numFmtId="0" fontId="45" fillId="0" borderId="38" xfId="0" applyFont="1" applyBorder="1" applyAlignment="1">
      <alignment vertical="center" wrapText="1"/>
    </xf>
    <xf numFmtId="4" fontId="45" fillId="0" borderId="38" xfId="0" applyNumberFormat="1" applyFont="1" applyBorder="1" applyAlignment="1">
      <alignment vertical="center"/>
    </xf>
    <xf numFmtId="0" fontId="44" fillId="13" borderId="38" xfId="0" applyFont="1" applyFill="1" applyBorder="1" applyAlignment="1">
      <alignment horizontal="center" vertical="center" wrapText="1"/>
    </xf>
    <xf numFmtId="4" fontId="42" fillId="0" borderId="38" xfId="0" applyNumberFormat="1" applyFont="1" applyBorder="1" applyAlignment="1">
      <alignment vertical="center"/>
    </xf>
    <xf numFmtId="0" fontId="7" fillId="4" borderId="0" xfId="0" applyFont="1" applyFill="1" applyAlignment="1">
      <alignment horizontal="center" vertical="center" wrapText="1"/>
    </xf>
    <xf numFmtId="4" fontId="8" fillId="0" borderId="4" xfId="0" applyNumberFormat="1" applyFont="1" applyBorder="1" applyAlignment="1">
      <alignment vertical="center"/>
    </xf>
    <xf numFmtId="14" fontId="7" fillId="5" borderId="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5" fontId="5" fillId="2" borderId="12" xfId="0" applyNumberFormat="1" applyFont="1" applyFill="1" applyBorder="1" applyAlignment="1">
      <alignment vertical="center"/>
    </xf>
    <xf numFmtId="165" fontId="8" fillId="0" borderId="32" xfId="0" applyNumberFormat="1" applyFont="1" applyBorder="1" applyAlignment="1">
      <alignment vertical="center"/>
    </xf>
    <xf numFmtId="165" fontId="5" fillId="2" borderId="14" xfId="0" applyNumberFormat="1" applyFont="1" applyFill="1" applyBorder="1" applyAlignment="1">
      <alignment vertical="center"/>
    </xf>
    <xf numFmtId="0" fontId="7" fillId="5" borderId="8" xfId="0" applyFont="1" applyFill="1" applyBorder="1" applyAlignment="1">
      <alignment horizontal="center" vertical="center" wrapText="1"/>
    </xf>
    <xf numFmtId="4" fontId="5" fillId="3" borderId="34" xfId="0" applyNumberFormat="1" applyFont="1" applyFill="1" applyBorder="1" applyAlignment="1">
      <alignment vertical="center"/>
    </xf>
    <xf numFmtId="4" fontId="2" fillId="0" borderId="31" xfId="0" applyNumberFormat="1" applyFont="1" applyBorder="1" applyAlignment="1">
      <alignment vertical="center"/>
    </xf>
    <xf numFmtId="4" fontId="2" fillId="0" borderId="37" xfId="0" applyNumberFormat="1" applyFont="1" applyBorder="1" applyAlignment="1">
      <alignment vertical="center"/>
    </xf>
    <xf numFmtId="4" fontId="8" fillId="0" borderId="37" xfId="0" applyNumberFormat="1" applyFont="1" applyBorder="1" applyAlignment="1">
      <alignment vertical="center"/>
    </xf>
    <xf numFmtId="4" fontId="8" fillId="0" borderId="29" xfId="0" applyNumberFormat="1" applyFont="1" applyBorder="1" applyAlignment="1">
      <alignment vertical="center"/>
    </xf>
    <xf numFmtId="4" fontId="7" fillId="3" borderId="34" xfId="0" applyNumberFormat="1" applyFont="1" applyFill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7" fillId="3" borderId="27" xfId="0" applyNumberFormat="1" applyFont="1" applyFill="1" applyBorder="1" applyAlignment="1">
      <alignment vertical="center"/>
    </xf>
    <xf numFmtId="4" fontId="2" fillId="0" borderId="29" xfId="0" applyNumberFormat="1" applyFont="1" applyBorder="1" applyAlignment="1">
      <alignment vertical="center"/>
    </xf>
    <xf numFmtId="0" fontId="11" fillId="5" borderId="4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4" fontId="7" fillId="5" borderId="2" xfId="0" applyNumberFormat="1" applyFont="1" applyFill="1" applyBorder="1" applyAlignment="1">
      <alignment horizontal="center" vertical="center"/>
    </xf>
    <xf numFmtId="14" fontId="7" fillId="5" borderId="13" xfId="0" applyNumberFormat="1" applyFont="1" applyFill="1" applyBorder="1" applyAlignment="1">
      <alignment horizontal="center" vertical="center"/>
    </xf>
    <xf numFmtId="14" fontId="7" fillId="5" borderId="48" xfId="0" applyNumberFormat="1" applyFont="1" applyFill="1" applyBorder="1" applyAlignment="1">
      <alignment horizontal="center" vertical="center"/>
    </xf>
    <xf numFmtId="14" fontId="7" fillId="5" borderId="35" xfId="0" applyNumberFormat="1" applyFont="1" applyFill="1" applyBorder="1" applyAlignment="1">
      <alignment horizontal="center" vertical="center"/>
    </xf>
    <xf numFmtId="14" fontId="7" fillId="5" borderId="25" xfId="0" applyNumberFormat="1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4" fontId="7" fillId="5" borderId="26" xfId="0" applyNumberFormat="1" applyFont="1" applyFill="1" applyBorder="1" applyAlignment="1">
      <alignment horizontal="center" vertical="center"/>
    </xf>
    <xf numFmtId="14" fontId="7" fillId="5" borderId="60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22" fillId="12" borderId="45" xfId="0" applyFont="1" applyFill="1" applyBorder="1" applyAlignment="1">
      <alignment vertical="center"/>
    </xf>
    <xf numFmtId="4" fontId="22" fillId="12" borderId="37" xfId="0" applyNumberFormat="1" applyFont="1" applyFill="1" applyBorder="1" applyAlignment="1">
      <alignment vertical="center"/>
    </xf>
    <xf numFmtId="165" fontId="2" fillId="0" borderId="17" xfId="0" applyNumberFormat="1" applyFont="1" applyBorder="1" applyAlignment="1" applyProtection="1">
      <alignment vertical="center"/>
      <protection locked="0"/>
    </xf>
    <xf numFmtId="165" fontId="2" fillId="0" borderId="45" xfId="0" applyNumberFormat="1" applyFont="1" applyBorder="1" applyAlignment="1" applyProtection="1">
      <alignment vertical="center"/>
      <protection locked="0"/>
    </xf>
    <xf numFmtId="165" fontId="2" fillId="0" borderId="7" xfId="0" applyNumberFormat="1" applyFont="1" applyBorder="1" applyAlignment="1" applyProtection="1">
      <alignment vertical="center"/>
      <protection locked="0"/>
    </xf>
    <xf numFmtId="165" fontId="2" fillId="0" borderId="10" xfId="0" applyNumberFormat="1" applyFont="1" applyBorder="1" applyAlignment="1" applyProtection="1">
      <alignment vertical="center"/>
      <protection locked="0"/>
    </xf>
    <xf numFmtId="165" fontId="5" fillId="0" borderId="17" xfId="0" applyNumberFormat="1" applyFont="1" applyBorder="1" applyAlignment="1" applyProtection="1">
      <alignment vertical="center"/>
      <protection locked="0"/>
    </xf>
    <xf numFmtId="165" fontId="5" fillId="0" borderId="45" xfId="0" applyNumberFormat="1" applyFont="1" applyBorder="1" applyAlignment="1" applyProtection="1">
      <alignment vertical="center"/>
      <protection locked="0"/>
    </xf>
    <xf numFmtId="165" fontId="5" fillId="0" borderId="7" xfId="0" applyNumberFormat="1" applyFont="1" applyBorder="1" applyAlignment="1" applyProtection="1">
      <alignment vertical="center"/>
      <protection locked="0"/>
    </xf>
    <xf numFmtId="165" fontId="5" fillId="0" borderId="10" xfId="0" applyNumberFormat="1" applyFont="1" applyBorder="1" applyAlignment="1" applyProtection="1">
      <alignment vertical="center"/>
      <protection locked="0"/>
    </xf>
    <xf numFmtId="165" fontId="8" fillId="0" borderId="29" xfId="0" applyNumberFormat="1" applyFont="1" applyBorder="1" applyAlignment="1" applyProtection="1">
      <alignment vertical="center"/>
      <protection locked="0"/>
    </xf>
    <xf numFmtId="165" fontId="8" fillId="0" borderId="46" xfId="0" applyNumberFormat="1" applyFont="1" applyBorder="1" applyAlignment="1" applyProtection="1">
      <alignment vertical="center"/>
      <protection locked="0"/>
    </xf>
    <xf numFmtId="165" fontId="8" fillId="0" borderId="17" xfId="0" applyNumberFormat="1" applyFont="1" applyBorder="1" applyAlignment="1" applyProtection="1">
      <alignment vertical="center"/>
      <protection locked="0"/>
    </xf>
    <xf numFmtId="165" fontId="8" fillId="0" borderId="45" xfId="0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  <protection locked="0"/>
    </xf>
    <xf numFmtId="165" fontId="2" fillId="0" borderId="44" xfId="0" applyNumberFormat="1" applyFont="1" applyBorder="1" applyAlignment="1" applyProtection="1">
      <alignment vertical="center"/>
      <protection locked="0"/>
    </xf>
    <xf numFmtId="165" fontId="2" fillId="0" borderId="23" xfId="0" applyNumberFormat="1" applyFont="1" applyBorder="1" applyAlignment="1" applyProtection="1">
      <alignment vertical="center"/>
      <protection locked="0"/>
    </xf>
    <xf numFmtId="165" fontId="2" fillId="0" borderId="47" xfId="0" applyNumberFormat="1" applyFont="1" applyBorder="1" applyAlignment="1" applyProtection="1">
      <alignment vertical="center"/>
      <protection locked="0"/>
    </xf>
    <xf numFmtId="165" fontId="5" fillId="3" borderId="13" xfId="0" applyNumberFormat="1" applyFont="1" applyFill="1" applyBorder="1" applyAlignment="1" applyProtection="1">
      <alignment vertical="center"/>
      <protection locked="0"/>
    </xf>
    <xf numFmtId="165" fontId="5" fillId="3" borderId="48" xfId="0" applyNumberFormat="1" applyFont="1" applyFill="1" applyBorder="1" applyAlignment="1" applyProtection="1">
      <alignment vertical="center"/>
      <protection locked="0"/>
    </xf>
    <xf numFmtId="165" fontId="5" fillId="0" borderId="2" xfId="0" applyNumberFormat="1" applyFont="1" applyBorder="1" applyAlignment="1" applyProtection="1">
      <alignment vertical="center"/>
      <protection locked="0"/>
    </xf>
    <xf numFmtId="165" fontId="5" fillId="0" borderId="44" xfId="0" applyNumberFormat="1" applyFont="1" applyBorder="1" applyAlignment="1" applyProtection="1">
      <alignment vertical="center"/>
      <protection locked="0"/>
    </xf>
    <xf numFmtId="165" fontId="8" fillId="0" borderId="8" xfId="0" applyNumberFormat="1" applyFont="1" applyBorder="1" applyAlignment="1" applyProtection="1">
      <alignment vertical="center"/>
      <protection locked="0"/>
    </xf>
    <xf numFmtId="165" fontId="7" fillId="0" borderId="2" xfId="0" applyNumberFormat="1" applyFont="1" applyBorder="1" applyAlignment="1" applyProtection="1">
      <alignment vertical="center"/>
      <protection locked="0"/>
    </xf>
    <xf numFmtId="165" fontId="7" fillId="0" borderId="47" xfId="0" applyNumberFormat="1" applyFont="1" applyBorder="1" applyAlignment="1" applyProtection="1">
      <alignment vertical="center"/>
      <protection locked="0"/>
    </xf>
    <xf numFmtId="165" fontId="8" fillId="0" borderId="23" xfId="0" applyNumberFormat="1" applyFont="1" applyBorder="1" applyAlignment="1" applyProtection="1">
      <alignment vertical="center"/>
      <protection locked="0"/>
    </xf>
    <xf numFmtId="165" fontId="8" fillId="0" borderId="47" xfId="0" applyNumberFormat="1" applyFont="1" applyBorder="1" applyAlignment="1" applyProtection="1">
      <alignment vertical="center"/>
      <protection locked="0"/>
    </xf>
    <xf numFmtId="165" fontId="7" fillId="0" borderId="44" xfId="0" applyNumberFormat="1" applyFont="1" applyBorder="1" applyAlignment="1" applyProtection="1">
      <alignment vertical="center"/>
      <protection locked="0"/>
    </xf>
    <xf numFmtId="4" fontId="6" fillId="0" borderId="2" xfId="0" applyNumberFormat="1" applyFont="1" applyBorder="1" applyAlignment="1" applyProtection="1">
      <alignment vertical="center"/>
      <protection locked="0"/>
    </xf>
    <xf numFmtId="4" fontId="6" fillId="0" borderId="44" xfId="0" applyNumberFormat="1" applyFont="1" applyBorder="1" applyAlignment="1" applyProtection="1">
      <alignment vertical="center"/>
      <protection locked="0"/>
    </xf>
    <xf numFmtId="165" fontId="5" fillId="0" borderId="13" xfId="0" applyNumberFormat="1" applyFont="1" applyBorder="1" applyAlignment="1" applyProtection="1">
      <alignment vertical="center"/>
      <protection locked="0"/>
    </xf>
    <xf numFmtId="165" fontId="5" fillId="0" borderId="48" xfId="0" applyNumberFormat="1" applyFont="1" applyBorder="1" applyAlignment="1" applyProtection="1">
      <alignment vertical="center"/>
      <protection locked="0"/>
    </xf>
    <xf numFmtId="165" fontId="5" fillId="0" borderId="26" xfId="0" applyNumberFormat="1" applyFont="1" applyBorder="1" applyAlignment="1" applyProtection="1">
      <alignment vertical="center"/>
      <protection locked="0"/>
    </xf>
    <xf numFmtId="165" fontId="5" fillId="0" borderId="56" xfId="0" applyNumberFormat="1" applyFont="1" applyBorder="1" applyAlignment="1" applyProtection="1">
      <alignment vertical="center"/>
      <protection locked="0"/>
    </xf>
    <xf numFmtId="165" fontId="2" fillId="0" borderId="18" xfId="0" applyNumberFormat="1" applyFont="1" applyBorder="1" applyAlignment="1" applyProtection="1">
      <alignment vertical="center"/>
      <protection locked="0"/>
    </xf>
    <xf numFmtId="165" fontId="8" fillId="0" borderId="30" xfId="0" applyNumberFormat="1" applyFont="1" applyBorder="1" applyAlignment="1" applyProtection="1">
      <alignment vertical="center"/>
      <protection locked="0"/>
    </xf>
    <xf numFmtId="165" fontId="8" fillId="0" borderId="18" xfId="0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4" fontId="2" fillId="0" borderId="23" xfId="0" applyNumberFormat="1" applyFont="1" applyBorder="1" applyAlignment="1" applyProtection="1">
      <alignment vertical="center"/>
      <protection locked="0"/>
    </xf>
    <xf numFmtId="4" fontId="2" fillId="0" borderId="24" xfId="0" applyNumberFormat="1" applyFont="1" applyBorder="1" applyAlignment="1" applyProtection="1">
      <alignment vertical="center"/>
      <protection locked="0"/>
    </xf>
    <xf numFmtId="4" fontId="2" fillId="0" borderId="17" xfId="0" applyNumberFormat="1" applyFont="1" applyBorder="1" applyAlignment="1" applyProtection="1">
      <alignment vertical="center"/>
      <protection locked="0"/>
    </xf>
    <xf numFmtId="4" fontId="2" fillId="0" borderId="18" xfId="0" applyNumberFormat="1" applyFont="1" applyBorder="1" applyAlignment="1" applyProtection="1">
      <alignment vertical="center"/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4" fontId="8" fillId="0" borderId="18" xfId="0" applyNumberFormat="1" applyFont="1" applyBorder="1" applyAlignment="1" applyProtection="1">
      <alignment vertical="center"/>
      <protection locked="0"/>
    </xf>
    <xf numFmtId="4" fontId="8" fillId="0" borderId="32" xfId="0" applyNumberFormat="1" applyFont="1" applyBorder="1" applyAlignment="1" applyProtection="1">
      <alignment vertical="center"/>
      <protection locked="0"/>
    </xf>
    <xf numFmtId="4" fontId="8" fillId="0" borderId="30" xfId="0" applyNumberFormat="1" applyFont="1" applyBorder="1" applyAlignment="1" applyProtection="1">
      <alignment vertical="center"/>
      <protection locked="0"/>
    </xf>
    <xf numFmtId="4" fontId="8" fillId="0" borderId="23" xfId="0" applyNumberFormat="1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  <protection locked="0"/>
    </xf>
    <xf numFmtId="4" fontId="2" fillId="0" borderId="32" xfId="0" applyNumberFormat="1" applyFont="1" applyBorder="1" applyAlignment="1" applyProtection="1">
      <alignment vertical="center"/>
      <protection locked="0"/>
    </xf>
    <xf numFmtId="4" fontId="2" fillId="0" borderId="30" xfId="0" applyNumberFormat="1" applyFont="1" applyBorder="1" applyAlignment="1" applyProtection="1">
      <alignment vertical="center"/>
      <protection locked="0"/>
    </xf>
    <xf numFmtId="10" fontId="0" fillId="0" borderId="38" xfId="1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vertical="center" wrapText="1"/>
      <protection locked="0"/>
    </xf>
    <xf numFmtId="165" fontId="8" fillId="0" borderId="3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right"/>
      <protection locked="0"/>
    </xf>
    <xf numFmtId="4" fontId="2" fillId="0" borderId="31" xfId="0" applyNumberFormat="1" applyFont="1" applyBorder="1" applyAlignment="1" applyProtection="1">
      <alignment vertical="center"/>
      <protection locked="0"/>
    </xf>
    <xf numFmtId="4" fontId="2" fillId="0" borderId="37" xfId="0" applyNumberFormat="1" applyFont="1" applyBorder="1" applyAlignment="1" applyProtection="1">
      <alignment vertical="center"/>
      <protection locked="0"/>
    </xf>
    <xf numFmtId="4" fontId="8" fillId="0" borderId="37" xfId="0" applyNumberFormat="1" applyFont="1" applyBorder="1" applyAlignment="1" applyProtection="1">
      <alignment vertical="center"/>
      <protection locked="0"/>
    </xf>
    <xf numFmtId="4" fontId="8" fillId="0" borderId="29" xfId="0" applyNumberFormat="1" applyFont="1" applyBorder="1" applyAlignment="1" applyProtection="1">
      <alignment vertical="center"/>
      <protection locked="0"/>
    </xf>
    <xf numFmtId="4" fontId="8" fillId="0" borderId="31" xfId="0" applyNumberFormat="1" applyFont="1" applyBorder="1" applyAlignment="1" applyProtection="1">
      <alignment vertical="center"/>
      <protection locked="0"/>
    </xf>
    <xf numFmtId="4" fontId="2" fillId="0" borderId="29" xfId="0" applyNumberFormat="1" applyFont="1" applyBorder="1" applyAlignment="1" applyProtection="1">
      <alignment vertical="center"/>
      <protection locked="0"/>
    </xf>
    <xf numFmtId="10" fontId="0" fillId="0" borderId="38" xfId="1" applyNumberFormat="1" applyFont="1" applyFill="1" applyBorder="1" applyAlignment="1" applyProtection="1">
      <alignment horizontal="center" vertical="center"/>
      <protection locked="0"/>
    </xf>
    <xf numFmtId="10" fontId="0" fillId="0" borderId="38" xfId="0" applyNumberFormat="1" applyBorder="1" applyAlignment="1" applyProtection="1">
      <alignment vertical="center"/>
      <protection locked="0"/>
    </xf>
    <xf numFmtId="4" fontId="0" fillId="0" borderId="38" xfId="0" applyNumberFormat="1" applyBorder="1" applyAlignment="1" applyProtection="1">
      <alignment vertical="center"/>
      <protection locked="0"/>
    </xf>
    <xf numFmtId="3" fontId="0" fillId="0" borderId="36" xfId="0" applyNumberFormat="1" applyBorder="1" applyAlignment="1" applyProtection="1">
      <alignment vertical="center"/>
      <protection locked="0"/>
    </xf>
    <xf numFmtId="9" fontId="0" fillId="0" borderId="38" xfId="0" applyNumberFormat="1" applyBorder="1" applyAlignment="1" applyProtection="1">
      <alignment vertical="center"/>
      <protection locked="0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 applyProtection="1">
      <alignment vertical="center"/>
      <protection locked="0"/>
    </xf>
    <xf numFmtId="165" fontId="7" fillId="0" borderId="13" xfId="0" applyNumberFormat="1" applyFont="1" applyBorder="1" applyAlignment="1" applyProtection="1">
      <alignment vertical="center"/>
      <protection locked="0"/>
    </xf>
    <xf numFmtId="165" fontId="7" fillId="0" borderId="48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5" fillId="0" borderId="0" xfId="0" applyFont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6" fillId="0" borderId="38" xfId="0" applyFont="1" applyBorder="1" applyAlignment="1">
      <alignment horizontal="center" vertical="center"/>
    </xf>
    <xf numFmtId="0" fontId="11" fillId="0" borderId="23" xfId="0" applyFont="1" applyBorder="1"/>
    <xf numFmtId="4" fontId="0" fillId="0" borderId="31" xfId="0" applyNumberFormat="1" applyBorder="1"/>
    <xf numFmtId="4" fontId="0" fillId="0" borderId="36" xfId="0" applyNumberFormat="1" applyBorder="1"/>
    <xf numFmtId="4" fontId="0" fillId="0" borderId="24" xfId="0" applyNumberFormat="1" applyBorder="1"/>
    <xf numFmtId="4" fontId="35" fillId="0" borderId="38" xfId="0" applyNumberFormat="1" applyFont="1" applyBorder="1" applyAlignment="1">
      <alignment vertical="center"/>
    </xf>
    <xf numFmtId="0" fontId="0" fillId="0" borderId="17" xfId="0" applyBorder="1"/>
    <xf numFmtId="0" fontId="0" fillId="0" borderId="37" xfId="0" applyBorder="1"/>
    <xf numFmtId="0" fontId="0" fillId="0" borderId="18" xfId="0" applyBorder="1"/>
    <xf numFmtId="0" fontId="11" fillId="0" borderId="17" xfId="0" applyFont="1" applyBorder="1"/>
    <xf numFmtId="4" fontId="0" fillId="0" borderId="37" xfId="0" applyNumberFormat="1" applyBorder="1"/>
    <xf numFmtId="4" fontId="0" fillId="0" borderId="18" xfId="0" applyNumberFormat="1" applyBorder="1"/>
    <xf numFmtId="0" fontId="11" fillId="0" borderId="17" xfId="0" applyFont="1" applyBorder="1" applyAlignment="1">
      <alignment wrapText="1"/>
    </xf>
    <xf numFmtId="0" fontId="0" fillId="0" borderId="17" xfId="0" applyBorder="1" applyAlignment="1">
      <alignment wrapText="1"/>
    </xf>
    <xf numFmtId="0" fontId="12" fillId="0" borderId="17" xfId="0" applyFont="1" applyBorder="1" applyAlignment="1">
      <alignment wrapText="1"/>
    </xf>
    <xf numFmtId="10" fontId="0" fillId="0" borderId="37" xfId="0" applyNumberFormat="1" applyBorder="1"/>
    <xf numFmtId="10" fontId="0" fillId="0" borderId="18" xfId="0" applyNumberFormat="1" applyBorder="1"/>
    <xf numFmtId="1" fontId="0" fillId="0" borderId="37" xfId="0" applyNumberFormat="1" applyBorder="1"/>
    <xf numFmtId="1" fontId="0" fillId="0" borderId="38" xfId="0" applyNumberFormat="1" applyBorder="1"/>
    <xf numFmtId="1" fontId="0" fillId="0" borderId="18" xfId="0" applyNumberFormat="1" applyBorder="1"/>
    <xf numFmtId="9" fontId="0" fillId="0" borderId="18" xfId="0" applyNumberFormat="1" applyBorder="1"/>
    <xf numFmtId="0" fontId="0" fillId="0" borderId="7" xfId="0" applyBorder="1" applyAlignment="1">
      <alignment wrapText="1"/>
    </xf>
    <xf numFmtId="0" fontId="0" fillId="0" borderId="54" xfId="0" applyBorder="1"/>
    <xf numFmtId="0" fontId="0" fillId="0" borderId="57" xfId="0" applyBorder="1"/>
    <xf numFmtId="0" fontId="0" fillId="0" borderId="8" xfId="0" applyBorder="1"/>
    <xf numFmtId="0" fontId="35" fillId="0" borderId="0" xfId="0" applyFont="1" applyAlignment="1" applyProtection="1">
      <alignment vertical="center"/>
      <protection locked="0"/>
    </xf>
    <xf numFmtId="0" fontId="0" fillId="0" borderId="17" xfId="0" applyBorder="1" applyProtection="1">
      <protection locked="0"/>
    </xf>
    <xf numFmtId="0" fontId="0" fillId="0" borderId="17" xfId="0" applyBorder="1" applyAlignment="1" applyProtection="1">
      <alignment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7" fillId="5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" fontId="5" fillId="3" borderId="66" xfId="0" applyNumberFormat="1" applyFont="1" applyFill="1" applyBorder="1" applyAlignment="1">
      <alignment vertical="center"/>
    </xf>
    <xf numFmtId="165" fontId="2" fillId="0" borderId="39" xfId="0" applyNumberFormat="1" applyFont="1" applyBorder="1" applyAlignment="1">
      <alignment vertical="center"/>
    </xf>
    <xf numFmtId="165" fontId="8" fillId="0" borderId="10" xfId="0" applyNumberFormat="1" applyFont="1" applyBorder="1" applyAlignment="1">
      <alignment vertical="center"/>
    </xf>
    <xf numFmtId="4" fontId="6" fillId="0" borderId="44" xfId="0" applyNumberFormat="1" applyFont="1" applyBorder="1" applyAlignment="1">
      <alignment vertical="center"/>
    </xf>
    <xf numFmtId="165" fontId="5" fillId="0" borderId="48" xfId="0" applyNumberFormat="1" applyFont="1" applyBorder="1" applyAlignment="1">
      <alignment vertical="center"/>
    </xf>
    <xf numFmtId="165" fontId="5" fillId="0" borderId="67" xfId="0" applyNumberFormat="1" applyFont="1" applyBorder="1" applyAlignment="1">
      <alignment vertical="center"/>
    </xf>
    <xf numFmtId="14" fontId="7" fillId="5" borderId="60" xfId="0" applyNumberFormat="1" applyFont="1" applyFill="1" applyBorder="1" applyAlignment="1">
      <alignment horizontal="center" vertical="center" wrapText="1"/>
    </xf>
    <xf numFmtId="14" fontId="7" fillId="5" borderId="56" xfId="0" applyNumberFormat="1" applyFont="1" applyFill="1" applyBorder="1" applyAlignment="1">
      <alignment horizontal="center" vertical="center" wrapText="1"/>
    </xf>
    <xf numFmtId="9" fontId="5" fillId="2" borderId="5" xfId="1" applyFont="1" applyFill="1" applyBorder="1" applyAlignment="1">
      <alignment vertical="center"/>
    </xf>
    <xf numFmtId="9" fontId="5" fillId="3" borderId="44" xfId="1" applyFont="1" applyFill="1" applyBorder="1" applyAlignment="1">
      <alignment vertical="center"/>
    </xf>
    <xf numFmtId="9" fontId="2" fillId="0" borderId="45" xfId="1" applyFont="1" applyBorder="1" applyAlignment="1">
      <alignment vertical="center"/>
    </xf>
    <xf numFmtId="9" fontId="2" fillId="0" borderId="10" xfId="1" applyFont="1" applyBorder="1" applyAlignment="1">
      <alignment vertical="center"/>
    </xf>
    <xf numFmtId="9" fontId="5" fillId="0" borderId="45" xfId="1" applyFont="1" applyBorder="1" applyAlignment="1">
      <alignment vertical="center"/>
    </xf>
    <xf numFmtId="9" fontId="5" fillId="0" borderId="10" xfId="1" applyFont="1" applyBorder="1" applyAlignment="1">
      <alignment vertical="center"/>
    </xf>
    <xf numFmtId="9" fontId="8" fillId="0" borderId="46" xfId="1" applyFont="1" applyBorder="1" applyAlignment="1">
      <alignment vertical="center"/>
    </xf>
    <xf numFmtId="9" fontId="8" fillId="0" borderId="45" xfId="1" applyFont="1" applyBorder="1" applyAlignment="1">
      <alignment vertical="center"/>
    </xf>
    <xf numFmtId="9" fontId="5" fillId="2" borderId="4" xfId="1" applyFont="1" applyFill="1" applyBorder="1" applyAlignment="1">
      <alignment vertical="center"/>
    </xf>
    <xf numFmtId="9" fontId="5" fillId="3" borderId="46" xfId="1" applyFont="1" applyFill="1" applyBorder="1" applyAlignment="1">
      <alignment vertical="center"/>
    </xf>
    <xf numFmtId="9" fontId="2" fillId="0" borderId="44" xfId="1" applyFont="1" applyBorder="1" applyAlignment="1">
      <alignment vertical="center"/>
    </xf>
    <xf numFmtId="9" fontId="2" fillId="0" borderId="47" xfId="1" applyFont="1" applyBorder="1" applyAlignment="1">
      <alignment vertical="center"/>
    </xf>
    <xf numFmtId="9" fontId="2" fillId="0" borderId="45" xfId="1" applyFont="1" applyFill="1" applyBorder="1" applyAlignment="1">
      <alignment vertical="center"/>
    </xf>
    <xf numFmtId="9" fontId="7" fillId="0" borderId="45" xfId="1" applyFont="1" applyFill="1" applyBorder="1" applyAlignment="1">
      <alignment vertical="center"/>
    </xf>
    <xf numFmtId="9" fontId="8" fillId="0" borderId="45" xfId="1" applyFont="1" applyFill="1" applyBorder="1" applyAlignment="1">
      <alignment vertical="center"/>
    </xf>
    <xf numFmtId="9" fontId="5" fillId="0" borderId="45" xfId="1" applyFont="1" applyFill="1" applyBorder="1" applyAlignment="1">
      <alignment vertical="center"/>
    </xf>
    <xf numFmtId="9" fontId="5" fillId="3" borderId="48" xfId="1" applyFont="1" applyFill="1" applyBorder="1" applyAlignment="1">
      <alignment vertical="center"/>
    </xf>
    <xf numFmtId="9" fontId="7" fillId="5" borderId="48" xfId="1" applyFont="1" applyFill="1" applyBorder="1" applyAlignment="1">
      <alignment vertical="center"/>
    </xf>
    <xf numFmtId="9" fontId="5" fillId="2" borderId="35" xfId="1" applyFont="1" applyFill="1" applyBorder="1" applyAlignment="1">
      <alignment vertical="center"/>
    </xf>
    <xf numFmtId="9" fontId="5" fillId="0" borderId="61" xfId="1" applyFont="1" applyFill="1" applyBorder="1" applyAlignment="1">
      <alignment vertical="center"/>
    </xf>
    <xf numFmtId="9" fontId="8" fillId="0" borderId="57" xfId="1" applyFont="1" applyFill="1" applyBorder="1" applyAlignment="1">
      <alignment vertical="center"/>
    </xf>
    <xf numFmtId="9" fontId="7" fillId="0" borderId="36" xfId="1" applyFont="1" applyFill="1" applyBorder="1" applyAlignment="1">
      <alignment vertical="center"/>
    </xf>
    <xf numFmtId="9" fontId="8" fillId="0" borderId="36" xfId="1" applyFont="1" applyFill="1" applyBorder="1" applyAlignment="1">
      <alignment vertical="center"/>
    </xf>
    <xf numFmtId="9" fontId="7" fillId="0" borderId="61" xfId="1" applyFont="1" applyFill="1" applyBorder="1" applyAlignment="1">
      <alignment vertical="center"/>
    </xf>
    <xf numFmtId="9" fontId="6" fillId="0" borderId="61" xfId="1" applyFont="1" applyFill="1" applyBorder="1" applyAlignment="1">
      <alignment vertical="center"/>
    </xf>
    <xf numFmtId="9" fontId="5" fillId="0" borderId="35" xfId="1" applyFont="1" applyFill="1" applyBorder="1" applyAlignment="1">
      <alignment vertical="center"/>
    </xf>
    <xf numFmtId="9" fontId="5" fillId="0" borderId="60" xfId="1" applyFont="1" applyFill="1" applyBorder="1" applyAlignment="1">
      <alignment vertical="center"/>
    </xf>
    <xf numFmtId="9" fontId="5" fillId="3" borderId="61" xfId="1" applyFont="1" applyFill="1" applyBorder="1" applyAlignment="1">
      <alignment vertical="center"/>
    </xf>
    <xf numFmtId="9" fontId="2" fillId="0" borderId="38" xfId="1" applyFont="1" applyBorder="1" applyAlignment="1">
      <alignment vertical="center"/>
    </xf>
    <xf numFmtId="9" fontId="2" fillId="0" borderId="38" xfId="1" applyFont="1" applyFill="1" applyBorder="1" applyAlignment="1">
      <alignment vertical="center"/>
    </xf>
    <xf numFmtId="9" fontId="2" fillId="0" borderId="57" xfId="1" applyFont="1" applyFill="1" applyBorder="1" applyAlignment="1">
      <alignment vertical="center"/>
    </xf>
    <xf numFmtId="9" fontId="8" fillId="0" borderId="39" xfId="1" applyFont="1" applyBorder="1" applyAlignment="1">
      <alignment vertical="center"/>
    </xf>
    <xf numFmtId="9" fontId="8" fillId="0" borderId="38" xfId="1" applyFont="1" applyBorder="1" applyAlignment="1">
      <alignment vertical="center"/>
    </xf>
    <xf numFmtId="9" fontId="2" fillId="0" borderId="36" xfId="1" applyFont="1" applyBorder="1" applyAlignment="1">
      <alignment vertical="center"/>
    </xf>
    <xf numFmtId="9" fontId="2" fillId="0" borderId="57" xfId="1" applyFont="1" applyBorder="1" applyAlignment="1">
      <alignment vertical="center"/>
    </xf>
    <xf numFmtId="9" fontId="2" fillId="0" borderId="39" xfId="1" applyFont="1" applyBorder="1" applyAlignment="1">
      <alignment vertical="center"/>
    </xf>
    <xf numFmtId="9" fontId="7" fillId="5" borderId="35" xfId="1" applyFont="1" applyFill="1" applyBorder="1" applyAlignment="1">
      <alignment vertical="center"/>
    </xf>
    <xf numFmtId="9" fontId="5" fillId="0" borderId="44" xfId="1" applyFont="1" applyFill="1" applyBorder="1" applyAlignment="1">
      <alignment vertical="center"/>
    </xf>
    <xf numFmtId="9" fontId="8" fillId="0" borderId="10" xfId="1" applyFont="1" applyFill="1" applyBorder="1" applyAlignment="1">
      <alignment vertical="center"/>
    </xf>
    <xf numFmtId="9" fontId="7" fillId="0" borderId="47" xfId="1" applyFont="1" applyFill="1" applyBorder="1" applyAlignment="1">
      <alignment vertical="center"/>
    </xf>
    <xf numFmtId="9" fontId="8" fillId="0" borderId="47" xfId="1" applyFont="1" applyFill="1" applyBorder="1" applyAlignment="1">
      <alignment vertical="center"/>
    </xf>
    <xf numFmtId="9" fontId="7" fillId="0" borderId="44" xfId="1" applyFont="1" applyFill="1" applyBorder="1" applyAlignment="1">
      <alignment vertical="center"/>
    </xf>
    <xf numFmtId="9" fontId="6" fillId="0" borderId="44" xfId="1" applyFont="1" applyFill="1" applyBorder="1" applyAlignment="1">
      <alignment vertical="center"/>
    </xf>
    <xf numFmtId="9" fontId="5" fillId="0" borderId="48" xfId="1" applyFont="1" applyFill="1" applyBorder="1" applyAlignment="1">
      <alignment vertical="center"/>
    </xf>
    <xf numFmtId="9" fontId="5" fillId="0" borderId="67" xfId="1" applyFont="1" applyFill="1" applyBorder="1" applyAlignment="1">
      <alignment vertical="center"/>
    </xf>
    <xf numFmtId="9" fontId="5" fillId="2" borderId="48" xfId="1" applyFont="1" applyFill="1" applyBorder="1" applyAlignment="1">
      <alignment vertical="center"/>
    </xf>
    <xf numFmtId="9" fontId="2" fillId="0" borderId="10" xfId="1" applyFont="1" applyFill="1" applyBorder="1" applyAlignment="1">
      <alignment vertical="center"/>
    </xf>
    <xf numFmtId="9" fontId="5" fillId="2" borderId="25" xfId="1" applyFont="1" applyFill="1" applyBorder="1" applyAlignment="1">
      <alignment vertical="center"/>
    </xf>
    <xf numFmtId="9" fontId="5" fillId="0" borderId="4" xfId="1" applyFont="1" applyFill="1" applyBorder="1" applyAlignment="1">
      <alignment vertical="center"/>
    </xf>
    <xf numFmtId="9" fontId="8" fillId="0" borderId="8" xfId="1" applyFont="1" applyFill="1" applyBorder="1" applyAlignment="1">
      <alignment vertical="center"/>
    </xf>
    <xf numFmtId="9" fontId="7" fillId="0" borderId="24" xfId="1" applyFont="1" applyFill="1" applyBorder="1" applyAlignment="1">
      <alignment vertical="center"/>
    </xf>
    <xf numFmtId="9" fontId="8" fillId="0" borderId="24" xfId="1" applyFont="1" applyFill="1" applyBorder="1" applyAlignment="1">
      <alignment vertical="center"/>
    </xf>
    <xf numFmtId="9" fontId="7" fillId="0" borderId="4" xfId="1" applyFont="1" applyFill="1" applyBorder="1" applyAlignment="1">
      <alignment vertical="center"/>
    </xf>
    <xf numFmtId="9" fontId="6" fillId="0" borderId="4" xfId="1" applyFont="1" applyFill="1" applyBorder="1" applyAlignment="1">
      <alignment vertical="center"/>
    </xf>
    <xf numFmtId="9" fontId="5" fillId="0" borderId="25" xfId="1" applyFont="1" applyFill="1" applyBorder="1" applyAlignment="1">
      <alignment vertical="center"/>
    </xf>
    <xf numFmtId="9" fontId="5" fillId="0" borderId="56" xfId="1" applyFont="1" applyFill="1" applyBorder="1" applyAlignment="1">
      <alignment vertical="center"/>
    </xf>
    <xf numFmtId="9" fontId="5" fillId="3" borderId="4" xfId="1" applyFont="1" applyFill="1" applyBorder="1" applyAlignment="1">
      <alignment vertical="center"/>
    </xf>
    <xf numFmtId="9" fontId="2" fillId="0" borderId="18" xfId="1" applyFont="1" applyBorder="1" applyAlignment="1">
      <alignment vertical="center"/>
    </xf>
    <xf numFmtId="9" fontId="2" fillId="0" borderId="18" xfId="1" applyFont="1" applyFill="1" applyBorder="1" applyAlignment="1">
      <alignment vertical="center"/>
    </xf>
    <xf numFmtId="9" fontId="2" fillId="0" borderId="8" xfId="1" applyFont="1" applyFill="1" applyBorder="1" applyAlignment="1">
      <alignment vertical="center"/>
    </xf>
    <xf numFmtId="9" fontId="8" fillId="0" borderId="30" xfId="1" applyFont="1" applyBorder="1" applyAlignment="1">
      <alignment vertical="center"/>
    </xf>
    <xf numFmtId="9" fontId="8" fillId="0" borderId="18" xfId="1" applyFont="1" applyBorder="1" applyAlignment="1">
      <alignment vertical="center"/>
    </xf>
    <xf numFmtId="9" fontId="2" fillId="0" borderId="24" xfId="1" applyFont="1" applyBorder="1" applyAlignment="1">
      <alignment vertical="center"/>
    </xf>
    <xf numFmtId="9" fontId="2" fillId="0" borderId="8" xfId="1" applyFont="1" applyBorder="1" applyAlignment="1">
      <alignment vertical="center"/>
    </xf>
    <xf numFmtId="9" fontId="7" fillId="5" borderId="25" xfId="1" applyFont="1" applyFill="1" applyBorder="1" applyAlignment="1">
      <alignment vertical="center"/>
    </xf>
    <xf numFmtId="9" fontId="12" fillId="7" borderId="12" xfId="1" applyFont="1" applyFill="1" applyBorder="1" applyAlignment="1">
      <alignment vertical="center"/>
    </xf>
    <xf numFmtId="9" fontId="12" fillId="11" borderId="22" xfId="1" applyFont="1" applyFill="1" applyBorder="1" applyAlignment="1">
      <alignment vertical="center"/>
    </xf>
    <xf numFmtId="9" fontId="26" fillId="11" borderId="15" xfId="1" applyFont="1" applyFill="1" applyBorder="1" applyAlignment="1">
      <alignment vertical="center"/>
    </xf>
    <xf numFmtId="9" fontId="12" fillId="11" borderId="15" xfId="1" applyFont="1" applyFill="1" applyBorder="1" applyAlignment="1">
      <alignment vertical="center"/>
    </xf>
    <xf numFmtId="9" fontId="12" fillId="11" borderId="28" xfId="1" applyFont="1" applyFill="1" applyBorder="1" applyAlignment="1">
      <alignment vertical="center"/>
    </xf>
    <xf numFmtId="9" fontId="26" fillId="12" borderId="15" xfId="1" applyFont="1" applyFill="1" applyBorder="1" applyAlignment="1">
      <alignment vertical="center"/>
    </xf>
    <xf numFmtId="9" fontId="12" fillId="7" borderId="64" xfId="1" applyFont="1" applyFill="1" applyBorder="1" applyAlignment="1">
      <alignment vertical="center"/>
    </xf>
    <xf numFmtId="9" fontId="26" fillId="11" borderId="28" xfId="1" applyFont="1" applyFill="1" applyBorder="1" applyAlignment="1">
      <alignment vertical="center"/>
    </xf>
    <xf numFmtId="9" fontId="26" fillId="11" borderId="22" xfId="1" applyFont="1" applyFill="1" applyBorder="1" applyAlignment="1">
      <alignment vertical="center"/>
    </xf>
    <xf numFmtId="9" fontId="0" fillId="0" borderId="37" xfId="0" applyNumberFormat="1" applyBorder="1"/>
    <xf numFmtId="165" fontId="34" fillId="0" borderId="0" xfId="0" applyNumberFormat="1" applyFont="1" applyAlignment="1">
      <alignment vertical="center"/>
    </xf>
    <xf numFmtId="9" fontId="28" fillId="7" borderId="38" xfId="1" applyFont="1" applyFill="1" applyBorder="1" applyAlignment="1">
      <alignment vertical="center"/>
    </xf>
    <xf numFmtId="9" fontId="33" fillId="7" borderId="38" xfId="1" applyFont="1" applyFill="1" applyBorder="1" applyAlignment="1">
      <alignment vertical="center"/>
    </xf>
    <xf numFmtId="9" fontId="32" fillId="7" borderId="38" xfId="1" applyFont="1" applyFill="1" applyBorder="1" applyAlignment="1">
      <alignment vertical="center"/>
    </xf>
    <xf numFmtId="9" fontId="27" fillId="7" borderId="38" xfId="1" applyFont="1" applyFill="1" applyBorder="1" applyAlignment="1">
      <alignment vertical="center"/>
    </xf>
    <xf numFmtId="10" fontId="33" fillId="7" borderId="38" xfId="1" applyNumberFormat="1" applyFont="1" applyFill="1" applyBorder="1" applyAlignment="1">
      <alignment vertical="center"/>
    </xf>
    <xf numFmtId="10" fontId="32" fillId="7" borderId="38" xfId="1" applyNumberFormat="1" applyFont="1" applyFill="1" applyBorder="1" applyAlignment="1">
      <alignment vertical="center"/>
    </xf>
    <xf numFmtId="0" fontId="5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 vertical="top"/>
    </xf>
    <xf numFmtId="0" fontId="7" fillId="4" borderId="0" xfId="0" applyFont="1" applyFill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10" fontId="0" fillId="0" borderId="38" xfId="1" applyNumberFormat="1" applyFont="1" applyBorder="1" applyAlignment="1" applyProtection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1" fillId="5" borderId="41" xfId="0" applyFont="1" applyFill="1" applyBorder="1" applyAlignment="1">
      <alignment horizontal="center" wrapText="1"/>
    </xf>
    <xf numFmtId="10" fontId="0" fillId="0" borderId="39" xfId="1" applyNumberFormat="1" applyFont="1" applyBorder="1" applyAlignment="1" applyProtection="1">
      <alignment horizontal="center" vertical="center"/>
    </xf>
    <xf numFmtId="10" fontId="0" fillId="0" borderId="50" xfId="1" applyNumberFormat="1" applyFont="1" applyBorder="1" applyAlignment="1" applyProtection="1">
      <alignment horizontal="center" vertical="center"/>
    </xf>
    <xf numFmtId="10" fontId="0" fillId="0" borderId="36" xfId="1" applyNumberFormat="1" applyFont="1" applyBorder="1" applyAlignment="1" applyProtection="1">
      <alignment horizontal="center" vertical="center"/>
    </xf>
    <xf numFmtId="0" fontId="14" fillId="0" borderId="39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4" fontId="0" fillId="0" borderId="39" xfId="0" applyNumberFormat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3" fontId="0" fillId="0" borderId="52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9" fontId="0" fillId="0" borderId="52" xfId="1" applyFont="1" applyBorder="1" applyAlignment="1" applyProtection="1">
      <alignment horizontal="center" vertical="center"/>
    </xf>
    <xf numFmtId="9" fontId="0" fillId="0" borderId="53" xfId="1" applyFont="1" applyBorder="1" applyAlignment="1" applyProtection="1">
      <alignment horizontal="center" vertical="center"/>
    </xf>
    <xf numFmtId="9" fontId="0" fillId="0" borderId="51" xfId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4" fontId="0" fillId="0" borderId="38" xfId="0" applyNumberFormat="1" applyBorder="1" applyAlignment="1" applyProtection="1">
      <alignment horizontal="center" vertical="center"/>
      <protection locked="0"/>
    </xf>
    <xf numFmtId="0" fontId="20" fillId="0" borderId="38" xfId="0" applyFont="1" applyBorder="1" applyAlignment="1">
      <alignment horizontal="center" vertical="center"/>
    </xf>
    <xf numFmtId="4" fontId="0" fillId="0" borderId="39" xfId="0" applyNumberFormat="1" applyBorder="1" applyAlignment="1" applyProtection="1">
      <alignment horizontal="center" vertical="center"/>
      <protection locked="0"/>
    </xf>
    <xf numFmtId="4" fontId="0" fillId="0" borderId="50" xfId="0" applyNumberFormat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 wrapText="1"/>
    </xf>
    <xf numFmtId="10" fontId="0" fillId="0" borderId="39" xfId="1" applyNumberFormat="1" applyFont="1" applyFill="1" applyBorder="1" applyAlignment="1" applyProtection="1">
      <alignment horizontal="center" vertical="center"/>
      <protection locked="0"/>
    </xf>
    <xf numFmtId="10" fontId="0" fillId="0" borderId="50" xfId="1" applyNumberFormat="1" applyFont="1" applyFill="1" applyBorder="1" applyAlignment="1" applyProtection="1">
      <alignment horizontal="center" vertical="center"/>
      <protection locked="0"/>
    </xf>
    <xf numFmtId="10" fontId="0" fillId="0" borderId="36" xfId="1" applyNumberFormat="1" applyFont="1" applyFill="1" applyBorder="1" applyAlignment="1" applyProtection="1">
      <alignment horizontal="center" vertical="center"/>
      <protection locked="0"/>
    </xf>
    <xf numFmtId="10" fontId="0" fillId="0" borderId="38" xfId="1" applyNumberFormat="1" applyFont="1" applyFill="1" applyBorder="1" applyAlignment="1" applyProtection="1">
      <alignment horizontal="center" vertical="center"/>
      <protection locked="0"/>
    </xf>
    <xf numFmtId="9" fontId="0" fillId="0" borderId="52" xfId="1" applyFont="1" applyBorder="1" applyAlignment="1">
      <alignment horizontal="center" vertical="center"/>
    </xf>
    <xf numFmtId="9" fontId="0" fillId="0" borderId="53" xfId="1" applyFont="1" applyBorder="1" applyAlignment="1">
      <alignment horizontal="center" vertical="center"/>
    </xf>
    <xf numFmtId="9" fontId="0" fillId="0" borderId="51" xfId="1" applyFont="1" applyBorder="1" applyAlignment="1">
      <alignment horizontal="center" vertical="center"/>
    </xf>
    <xf numFmtId="3" fontId="0" fillId="0" borderId="52" xfId="0" applyNumberFormat="1" applyBorder="1" applyAlignment="1" applyProtection="1">
      <alignment horizontal="center" vertical="center"/>
      <protection locked="0"/>
    </xf>
    <xf numFmtId="3" fontId="0" fillId="0" borderId="53" xfId="0" applyNumberFormat="1" applyBorder="1" applyAlignment="1" applyProtection="1">
      <alignment horizontal="center" vertical="center"/>
      <protection locked="0"/>
    </xf>
    <xf numFmtId="3" fontId="0" fillId="0" borderId="51" xfId="0" applyNumberFormat="1" applyBorder="1" applyAlignment="1" applyProtection="1">
      <alignment horizontal="center" vertical="center"/>
      <protection locked="0"/>
    </xf>
    <xf numFmtId="9" fontId="0" fillId="0" borderId="52" xfId="1" applyFont="1" applyBorder="1" applyAlignment="1" applyProtection="1">
      <alignment horizontal="center" vertical="center"/>
      <protection locked="0"/>
    </xf>
    <xf numFmtId="9" fontId="0" fillId="0" borderId="53" xfId="1" applyFont="1" applyBorder="1" applyAlignment="1" applyProtection="1">
      <alignment horizontal="center" vertical="center"/>
      <protection locked="0"/>
    </xf>
    <xf numFmtId="9" fontId="0" fillId="0" borderId="51" xfId="1" applyFon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10" fontId="8" fillId="0" borderId="39" xfId="1" applyNumberFormat="1" applyFont="1" applyFill="1" applyBorder="1" applyAlignment="1">
      <alignment horizontal="center" vertical="center"/>
    </xf>
    <xf numFmtId="10" fontId="8" fillId="0" borderId="50" xfId="1" applyNumberFormat="1" applyFont="1" applyFill="1" applyBorder="1" applyAlignment="1">
      <alignment horizontal="center" vertical="center"/>
    </xf>
    <xf numFmtId="10" fontId="8" fillId="0" borderId="36" xfId="1" applyNumberFormat="1" applyFont="1" applyFill="1" applyBorder="1" applyAlignment="1">
      <alignment horizontal="center" vertical="center"/>
    </xf>
    <xf numFmtId="10" fontId="0" fillId="0" borderId="38" xfId="1" applyNumberFormat="1" applyFont="1" applyFill="1" applyBorder="1" applyAlignment="1">
      <alignment horizontal="center" vertical="center"/>
    </xf>
    <xf numFmtId="0" fontId="11" fillId="5" borderId="41" xfId="0" applyFont="1" applyFill="1" applyBorder="1" applyAlignment="1">
      <alignment horizontal="center" vertical="center" wrapText="1"/>
    </xf>
    <xf numFmtId="10" fontId="0" fillId="0" borderId="38" xfId="1" applyNumberFormat="1" applyFont="1" applyBorder="1" applyAlignment="1">
      <alignment horizontal="center" vertical="center"/>
    </xf>
    <xf numFmtId="10" fontId="0" fillId="0" borderId="39" xfId="1" applyNumberFormat="1" applyFont="1" applyBorder="1" applyAlignment="1">
      <alignment horizontal="center" vertical="center"/>
    </xf>
    <xf numFmtId="10" fontId="0" fillId="0" borderId="50" xfId="1" applyNumberFormat="1" applyFont="1" applyBorder="1" applyAlignment="1">
      <alignment horizontal="center" vertical="center"/>
    </xf>
    <xf numFmtId="10" fontId="0" fillId="0" borderId="36" xfId="1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 wrapText="1"/>
    </xf>
    <xf numFmtId="0" fontId="13" fillId="0" borderId="50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9" borderId="1" xfId="0" applyFont="1" applyFill="1" applyBorder="1" applyAlignment="1">
      <alignment horizontal="center"/>
    </xf>
    <xf numFmtId="0" fontId="11" fillId="9" borderId="0" xfId="0" applyFont="1" applyFill="1" applyAlignment="1">
      <alignment horizontal="center"/>
    </xf>
    <xf numFmtId="0" fontId="36" fillId="0" borderId="38" xfId="0" applyFont="1" applyBorder="1" applyAlignment="1">
      <alignment horizontal="center" vertical="center"/>
    </xf>
    <xf numFmtId="166" fontId="37" fillId="0" borderId="0" xfId="2" applyFont="1" applyAlignment="1">
      <alignment horizontal="center" vertical="center" textRotation="90" wrapText="1"/>
    </xf>
    <xf numFmtId="0" fontId="2" fillId="0" borderId="0" xfId="0" applyFont="1" applyAlignment="1">
      <alignment horizontal="left"/>
    </xf>
    <xf numFmtId="0" fontId="27" fillId="0" borderId="0" xfId="0" applyFont="1" applyAlignment="1">
      <alignment horizontal="center" vertical="center" wrapText="1"/>
    </xf>
    <xf numFmtId="0" fontId="0" fillId="0" borderId="38" xfId="0" applyBorder="1" applyProtection="1">
      <protection locked="0"/>
    </xf>
    <xf numFmtId="165" fontId="2" fillId="0" borderId="38" xfId="0" applyNumberFormat="1" applyFont="1" applyBorder="1" applyAlignment="1" applyProtection="1">
      <alignment vertical="center"/>
      <protection locked="0"/>
    </xf>
  </cellXfs>
  <cellStyles count="6">
    <cellStyle name="Dziesiętny" xfId="5" builtinId="3"/>
    <cellStyle name="Excel Built-in Normal" xfId="2" xr:uid="{00000000-0005-0000-0000-000001000000}"/>
    <cellStyle name="Normalny" xfId="0" builtinId="0"/>
    <cellStyle name="Normalny 2" xfId="3" xr:uid="{00000000-0005-0000-0000-000003000000}"/>
    <cellStyle name="Procentowy" xfId="1" builtinId="5"/>
    <cellStyle name="Procentowy 2" xfId="4" xr:uid="{00000000-0005-0000-0000-000005000000}"/>
  </cellStyles>
  <dxfs count="0"/>
  <tableStyles count="0" defaultTableStyle="TableStyleMedium2" defaultPivotStyle="PivotStyleLight16"/>
  <colors>
    <mruColors>
      <color rgb="FFF4F8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"/>
  <sheetViews>
    <sheetView tabSelected="1" view="pageBreakPreview" zoomScale="120" zoomScaleNormal="120" zoomScaleSheetLayoutView="120" workbookViewId="0">
      <pane ySplit="7" topLeftCell="A34" activePane="bottomLeft" state="frozen"/>
      <selection activeCell="C6" sqref="C6:D56"/>
      <selection pane="bottomLeft" activeCell="I36" sqref="I36"/>
    </sheetView>
  </sheetViews>
  <sheetFormatPr defaultColWidth="9.140625" defaultRowHeight="15"/>
  <cols>
    <col min="1" max="1" width="4.140625" style="221" customWidth="1"/>
    <col min="2" max="2" width="47.42578125" customWidth="1"/>
    <col min="3" max="3" width="16.5703125" bestFit="1" customWidth="1"/>
    <col min="4" max="6" width="16.42578125" customWidth="1"/>
    <col min="7" max="7" width="0.85546875" customWidth="1"/>
    <col min="8" max="8" width="4.28515625" style="221" customWidth="1"/>
    <col min="9" max="9" width="49.5703125" customWidth="1"/>
    <col min="10" max="11" width="16.5703125" bestFit="1" customWidth="1"/>
    <col min="12" max="12" width="15.140625" style="42" customWidth="1"/>
    <col min="13" max="13" width="10.42578125" style="42" customWidth="1"/>
    <col min="14" max="14" width="9.140625" style="518"/>
  </cols>
  <sheetData>
    <row r="1" spans="1:13" s="518" customFormat="1">
      <c r="A1" s="532"/>
      <c r="B1" s="533"/>
      <c r="C1" s="533"/>
      <c r="D1" s="533"/>
      <c r="F1" s="518" t="s">
        <v>325</v>
      </c>
      <c r="G1" s="533"/>
      <c r="H1" s="532"/>
      <c r="I1" s="533"/>
      <c r="J1" s="533"/>
      <c r="K1" s="533"/>
      <c r="L1" s="518" t="s">
        <v>326</v>
      </c>
      <c r="M1" s="534"/>
    </row>
    <row r="2" spans="1:13" s="518" customFormat="1">
      <c r="A2" s="532"/>
      <c r="B2" s="535" t="s">
        <v>0</v>
      </c>
      <c r="C2" s="533"/>
      <c r="D2" s="533"/>
      <c r="E2" s="533"/>
      <c r="F2" s="533"/>
      <c r="G2" s="533"/>
      <c r="H2" s="532"/>
      <c r="I2" s="535" t="s">
        <v>0</v>
      </c>
      <c r="J2" s="533"/>
      <c r="K2" s="533"/>
      <c r="L2" s="534"/>
      <c r="M2" s="534"/>
    </row>
    <row r="3" spans="1:13">
      <c r="A3" s="152"/>
      <c r="B3" s="4" t="s">
        <v>1</v>
      </c>
      <c r="C3" s="2"/>
      <c r="D3" s="2"/>
      <c r="E3" s="2"/>
      <c r="F3" s="2"/>
      <c r="G3" s="2"/>
      <c r="H3" s="152"/>
      <c r="I3" s="4" t="s">
        <v>1</v>
      </c>
      <c r="J3" s="2"/>
      <c r="K3" s="2"/>
    </row>
    <row r="4" spans="1:13" ht="15.75" customHeight="1" thickBot="1">
      <c r="A4" s="454"/>
      <c r="B4" s="451" t="s">
        <v>302</v>
      </c>
      <c r="C4" s="687" t="s">
        <v>205</v>
      </c>
      <c r="D4" s="687"/>
      <c r="E4" s="225"/>
      <c r="F4" s="225"/>
      <c r="G4" s="225"/>
      <c r="H4" s="225"/>
      <c r="I4" s="451" t="s">
        <v>302</v>
      </c>
      <c r="J4" s="687" t="s">
        <v>205</v>
      </c>
      <c r="K4" s="687"/>
    </row>
    <row r="5" spans="1:13" ht="15.75" thickBot="1">
      <c r="A5" s="152"/>
      <c r="B5" s="2"/>
      <c r="C5" s="2"/>
      <c r="D5" s="2"/>
      <c r="E5" s="2"/>
      <c r="F5" s="2"/>
      <c r="G5" s="2"/>
      <c r="H5" s="152"/>
      <c r="I5" s="2"/>
    </row>
    <row r="6" spans="1:13">
      <c r="A6" s="688"/>
      <c r="B6" s="691" t="s">
        <v>2</v>
      </c>
      <c r="C6" s="693" t="s">
        <v>3</v>
      </c>
      <c r="D6" s="698"/>
      <c r="E6" s="693" t="s">
        <v>208</v>
      </c>
      <c r="F6" s="695" t="s">
        <v>209</v>
      </c>
      <c r="G6" s="225"/>
      <c r="H6" s="688"/>
      <c r="I6" s="689" t="s">
        <v>4</v>
      </c>
      <c r="J6" s="691" t="s">
        <v>3</v>
      </c>
      <c r="K6" s="692"/>
      <c r="L6" s="693" t="s">
        <v>208</v>
      </c>
      <c r="M6" s="695" t="s">
        <v>209</v>
      </c>
    </row>
    <row r="7" spans="1:13" ht="15.75" thickBot="1">
      <c r="A7" s="688"/>
      <c r="B7" s="697"/>
      <c r="C7" s="453">
        <f ca="1">D7-366</f>
        <v>44560</v>
      </c>
      <c r="D7" s="592" t="str">
        <f ca="1">CONCATENATE("31.12.",RIGHT(CELL("nazwa_pliku",A1),4))</f>
        <v>31.12.2022</v>
      </c>
      <c r="E7" s="699"/>
      <c r="F7" s="700"/>
      <c r="G7" s="225"/>
      <c r="H7" s="688"/>
      <c r="I7" s="690"/>
      <c r="J7" s="453">
        <f ca="1">K7-366</f>
        <v>44560</v>
      </c>
      <c r="K7" s="592" t="str">
        <f ca="1">CONCATENATE("31.12.",RIGHT(CELL("nazwa_pliku",H1),4))</f>
        <v>31.12.2022</v>
      </c>
      <c r="L7" s="694"/>
      <c r="M7" s="696"/>
    </row>
    <row r="8" spans="1:13" ht="15.75" thickBot="1">
      <c r="A8" s="5" t="s">
        <v>5</v>
      </c>
      <c r="B8" s="179" t="s">
        <v>6</v>
      </c>
      <c r="C8" s="6">
        <f>C9+C14+C23+C27+C47</f>
        <v>24980634.669999998</v>
      </c>
      <c r="D8" s="268">
        <f>D9+D14+D23+D27+D47</f>
        <v>28702198.990000002</v>
      </c>
      <c r="E8" s="6">
        <f>D8-C8</f>
        <v>3721564.320000004</v>
      </c>
      <c r="F8" s="180">
        <f>E8/C8</f>
        <v>0.14897797310447614</v>
      </c>
      <c r="G8" s="226"/>
      <c r="H8" s="93" t="s">
        <v>5</v>
      </c>
      <c r="I8" s="7" t="s">
        <v>7</v>
      </c>
      <c r="J8" s="77">
        <f>J9+J10+J12+J14+J17+J18+J19</f>
        <v>16135670.700000001</v>
      </c>
      <c r="K8" s="234">
        <f>K9+K10+K12+K14+K17+K18+K19</f>
        <v>22641842.829999998</v>
      </c>
      <c r="L8" s="159">
        <f>K8-J8</f>
        <v>6506172.1299999971</v>
      </c>
      <c r="M8" s="160">
        <f>L8/J8</f>
        <v>0.40321671475360465</v>
      </c>
    </row>
    <row r="9" spans="1:13" ht="15.75" thickBot="1">
      <c r="A9" s="8" t="s">
        <v>8</v>
      </c>
      <c r="B9" s="28" t="s">
        <v>206</v>
      </c>
      <c r="C9" s="9">
        <f>C10+C11+C12+C13</f>
        <v>42594.9</v>
      </c>
      <c r="D9" s="82">
        <f>D10+D11+D12+D13</f>
        <v>100853.82</v>
      </c>
      <c r="E9" s="9">
        <f t="shared" ref="E9:E72" si="0">D9-C9</f>
        <v>58258.920000000006</v>
      </c>
      <c r="F9" s="157">
        <f t="shared" ref="F9:F72" si="1">E9/C9</f>
        <v>1.367744025693217</v>
      </c>
      <c r="G9" s="226"/>
      <c r="H9" s="94" t="s">
        <v>8</v>
      </c>
      <c r="I9" s="10" t="s">
        <v>9</v>
      </c>
      <c r="J9" s="501">
        <v>35420985.210000001</v>
      </c>
      <c r="K9" s="502">
        <v>35420985.210000001</v>
      </c>
      <c r="L9" s="161">
        <f t="shared" ref="L9:L66" si="2">K9-J9</f>
        <v>0</v>
      </c>
      <c r="M9" s="162">
        <f t="shared" ref="M9:M66" si="3">L9/J9</f>
        <v>0</v>
      </c>
    </row>
    <row r="10" spans="1:13">
      <c r="A10" s="12">
        <v>1</v>
      </c>
      <c r="B10" s="30" t="s">
        <v>10</v>
      </c>
      <c r="C10" s="483"/>
      <c r="D10" s="484"/>
      <c r="E10" s="229">
        <f t="shared" si="0"/>
        <v>0</v>
      </c>
      <c r="F10" s="181" t="e">
        <f t="shared" si="1"/>
        <v>#DIV/0!</v>
      </c>
      <c r="G10" s="226"/>
      <c r="H10" s="94" t="s">
        <v>11</v>
      </c>
      <c r="I10" s="10" t="s">
        <v>171</v>
      </c>
      <c r="J10" s="501"/>
      <c r="K10" s="502"/>
      <c r="L10" s="163">
        <f t="shared" si="2"/>
        <v>0</v>
      </c>
      <c r="M10" s="164" t="e">
        <f t="shared" si="3"/>
        <v>#DIV/0!</v>
      </c>
    </row>
    <row r="11" spans="1:13" ht="30.75" thickBot="1">
      <c r="A11" s="12">
        <v>2</v>
      </c>
      <c r="B11" s="30" t="s">
        <v>12</v>
      </c>
      <c r="C11" s="483"/>
      <c r="D11" s="484"/>
      <c r="E11" s="230">
        <f t="shared" si="0"/>
        <v>0</v>
      </c>
      <c r="F11" s="182" t="e">
        <f t="shared" si="1"/>
        <v>#DIV/0!</v>
      </c>
      <c r="G11" s="226"/>
      <c r="H11" s="217"/>
      <c r="I11" s="207" t="s">
        <v>13</v>
      </c>
      <c r="J11" s="491"/>
      <c r="K11" s="503"/>
      <c r="L11" s="167">
        <f t="shared" si="2"/>
        <v>0</v>
      </c>
      <c r="M11" s="168" t="e">
        <f t="shared" si="3"/>
        <v>#DIV/0!</v>
      </c>
    </row>
    <row r="12" spans="1:13">
      <c r="A12" s="12">
        <v>3</v>
      </c>
      <c r="B12" s="30" t="s">
        <v>14</v>
      </c>
      <c r="C12" s="483">
        <v>42594.9</v>
      </c>
      <c r="D12" s="484">
        <v>100853.82</v>
      </c>
      <c r="E12" s="230">
        <f t="shared" si="0"/>
        <v>58258.920000000006</v>
      </c>
      <c r="F12" s="182">
        <f t="shared" si="1"/>
        <v>1.367744025693217</v>
      </c>
      <c r="G12" s="226"/>
      <c r="H12" s="95" t="s">
        <v>16</v>
      </c>
      <c r="I12" s="16" t="s">
        <v>172</v>
      </c>
      <c r="J12" s="504"/>
      <c r="K12" s="505"/>
      <c r="L12" s="163">
        <f t="shared" si="2"/>
        <v>0</v>
      </c>
      <c r="M12" s="164" t="e">
        <f t="shared" si="3"/>
        <v>#DIV/0!</v>
      </c>
    </row>
    <row r="13" spans="1:13" ht="15.75" thickBot="1">
      <c r="A13" s="14">
        <v>4</v>
      </c>
      <c r="B13" s="40" t="s">
        <v>15</v>
      </c>
      <c r="C13" s="485"/>
      <c r="D13" s="486"/>
      <c r="E13" s="231">
        <f t="shared" si="0"/>
        <v>0</v>
      </c>
      <c r="F13" s="183" t="e">
        <f t="shared" si="1"/>
        <v>#DIV/0!</v>
      </c>
      <c r="G13" s="226"/>
      <c r="H13" s="96"/>
      <c r="I13" s="19" t="s">
        <v>18</v>
      </c>
      <c r="J13" s="506"/>
      <c r="K13" s="507"/>
      <c r="L13" s="167">
        <f t="shared" si="2"/>
        <v>0</v>
      </c>
      <c r="M13" s="168" t="e">
        <f t="shared" si="3"/>
        <v>#DIV/0!</v>
      </c>
    </row>
    <row r="14" spans="1:13">
      <c r="A14" s="18" t="s">
        <v>11</v>
      </c>
      <c r="B14" s="184" t="s">
        <v>17</v>
      </c>
      <c r="C14" s="9">
        <f>C15+C21+C22</f>
        <v>24883612.77</v>
      </c>
      <c r="D14" s="82">
        <f>D15+D21+D22</f>
        <v>28564442.370000001</v>
      </c>
      <c r="E14" s="9">
        <f t="shared" si="0"/>
        <v>3680829.6000000015</v>
      </c>
      <c r="F14" s="157">
        <f t="shared" si="1"/>
        <v>0.14792183249361832</v>
      </c>
      <c r="G14" s="226"/>
      <c r="H14" s="95" t="s">
        <v>20</v>
      </c>
      <c r="I14" s="16" t="s">
        <v>173</v>
      </c>
      <c r="J14" s="504"/>
      <c r="K14" s="508"/>
      <c r="L14" s="163">
        <f t="shared" si="2"/>
        <v>0</v>
      </c>
      <c r="M14" s="164" t="e">
        <f t="shared" si="3"/>
        <v>#DIV/0!</v>
      </c>
    </row>
    <row r="15" spans="1:13">
      <c r="A15" s="21">
        <v>1</v>
      </c>
      <c r="B15" s="185" t="s">
        <v>19</v>
      </c>
      <c r="C15" s="22">
        <f>SUM(C16:C20)</f>
        <v>24207247.210000001</v>
      </c>
      <c r="D15" s="85">
        <f>SUM(D16:D20)</f>
        <v>28544211.330000002</v>
      </c>
      <c r="E15" s="229">
        <f t="shared" si="0"/>
        <v>4336964.120000001</v>
      </c>
      <c r="F15" s="181">
        <f t="shared" si="1"/>
        <v>0.1791597401545271</v>
      </c>
      <c r="G15" s="226"/>
      <c r="H15" s="96"/>
      <c r="I15" s="19" t="s">
        <v>23</v>
      </c>
      <c r="J15" s="506"/>
      <c r="K15" s="507"/>
      <c r="L15" s="165">
        <f t="shared" si="2"/>
        <v>0</v>
      </c>
      <c r="M15" s="166" t="e">
        <f t="shared" si="3"/>
        <v>#DIV/0!</v>
      </c>
    </row>
    <row r="16" spans="1:13" ht="30.75" thickBot="1">
      <c r="A16" s="12" t="s">
        <v>21</v>
      </c>
      <c r="B16" s="30" t="s">
        <v>22</v>
      </c>
      <c r="C16" s="483">
        <v>7662681.5199999996</v>
      </c>
      <c r="D16" s="484">
        <v>7662681.5199999996</v>
      </c>
      <c r="E16" s="230">
        <f t="shared" si="0"/>
        <v>0</v>
      </c>
      <c r="F16" s="182">
        <f t="shared" si="1"/>
        <v>0</v>
      </c>
      <c r="G16" s="226"/>
      <c r="H16" s="96"/>
      <c r="I16" s="19" t="s">
        <v>26</v>
      </c>
      <c r="J16" s="506"/>
      <c r="K16" s="507"/>
      <c r="L16" s="167">
        <f t="shared" si="2"/>
        <v>0</v>
      </c>
      <c r="M16" s="168" t="e">
        <f t="shared" si="3"/>
        <v>#DIV/0!</v>
      </c>
    </row>
    <row r="17" spans="1:13" ht="30.75" thickBot="1">
      <c r="A17" s="12" t="s">
        <v>24</v>
      </c>
      <c r="B17" s="30" t="s">
        <v>25</v>
      </c>
      <c r="C17" s="483">
        <v>3534047.59</v>
      </c>
      <c r="D17" s="484">
        <v>8602972.5999999996</v>
      </c>
      <c r="E17" s="230">
        <f t="shared" si="0"/>
        <v>5068925.01</v>
      </c>
      <c r="F17" s="182">
        <f t="shared" si="1"/>
        <v>1.4343114745661929</v>
      </c>
      <c r="G17" s="226"/>
      <c r="H17" s="94" t="s">
        <v>29</v>
      </c>
      <c r="I17" s="10" t="s">
        <v>30</v>
      </c>
      <c r="J17" s="509">
        <v>-32152326.84</v>
      </c>
      <c r="K17" s="510">
        <v>-19285314.510000002</v>
      </c>
      <c r="L17" s="161">
        <f t="shared" si="2"/>
        <v>12867012.329999998</v>
      </c>
      <c r="M17" s="162">
        <f t="shared" si="3"/>
        <v>-0.40018914942082612</v>
      </c>
    </row>
    <row r="18" spans="1:13" ht="15.75" thickBot="1">
      <c r="A18" s="12" t="s">
        <v>27</v>
      </c>
      <c r="B18" s="30" t="s">
        <v>28</v>
      </c>
      <c r="C18" s="483">
        <v>307637.18</v>
      </c>
      <c r="D18" s="484">
        <v>426865.96</v>
      </c>
      <c r="E18" s="230">
        <f t="shared" si="0"/>
        <v>119228.78000000003</v>
      </c>
      <c r="F18" s="182">
        <f t="shared" si="1"/>
        <v>0.3875629727200075</v>
      </c>
      <c r="G18" s="226"/>
      <c r="H18" s="94" t="s">
        <v>33</v>
      </c>
      <c r="I18" s="10" t="s">
        <v>34</v>
      </c>
      <c r="J18" s="554">
        <v>12867012.33</v>
      </c>
      <c r="K18" s="555">
        <v>6506172.1299999999</v>
      </c>
      <c r="L18" s="161">
        <f t="shared" si="2"/>
        <v>-6360840.2000000002</v>
      </c>
      <c r="M18" s="162">
        <f t="shared" si="3"/>
        <v>-0.49435253785911309</v>
      </c>
    </row>
    <row r="19" spans="1:13" ht="30.75" thickBot="1">
      <c r="A19" s="12" t="s">
        <v>31</v>
      </c>
      <c r="B19" s="30" t="s">
        <v>32</v>
      </c>
      <c r="C19" s="483">
        <v>8985191.0299999993</v>
      </c>
      <c r="D19" s="484">
        <v>7476298.9800000004</v>
      </c>
      <c r="E19" s="230">
        <f t="shared" si="0"/>
        <v>-1508892.0499999989</v>
      </c>
      <c r="F19" s="182">
        <f t="shared" si="1"/>
        <v>-0.16793099278157461</v>
      </c>
      <c r="G19" s="226"/>
      <c r="H19" s="218" t="s">
        <v>37</v>
      </c>
      <c r="I19" s="209" t="s">
        <v>38</v>
      </c>
      <c r="J19" s="513"/>
      <c r="K19" s="514"/>
      <c r="L19" s="212">
        <f t="shared" si="2"/>
        <v>0</v>
      </c>
      <c r="M19" s="213" t="e">
        <f t="shared" si="3"/>
        <v>#DIV/0!</v>
      </c>
    </row>
    <row r="20" spans="1:13" ht="15.75" thickBot="1">
      <c r="A20" s="12" t="s">
        <v>35</v>
      </c>
      <c r="B20" s="30" t="s">
        <v>36</v>
      </c>
      <c r="C20" s="483">
        <v>3717689.89</v>
      </c>
      <c r="D20" s="484">
        <v>4375392.2699999996</v>
      </c>
      <c r="E20" s="230">
        <f t="shared" si="0"/>
        <v>657702.37999999942</v>
      </c>
      <c r="F20" s="182">
        <f t="shared" si="1"/>
        <v>0.17691157666730492</v>
      </c>
      <c r="G20" s="226"/>
      <c r="H20" s="93" t="s">
        <v>41</v>
      </c>
      <c r="I20" s="26" t="s">
        <v>42</v>
      </c>
      <c r="J20" s="27">
        <f>J21+J29+J38+J62</f>
        <v>56777267.469999999</v>
      </c>
      <c r="K20" s="119">
        <f>K21+K29+K38+K62</f>
        <v>58168249.699999996</v>
      </c>
      <c r="L20" s="159">
        <f t="shared" si="2"/>
        <v>1390982.2299999967</v>
      </c>
      <c r="M20" s="160">
        <f t="shared" si="3"/>
        <v>2.4498928743532166E-2</v>
      </c>
    </row>
    <row r="21" spans="1:13">
      <c r="A21" s="21">
        <v>2</v>
      </c>
      <c r="B21" s="186" t="s">
        <v>39</v>
      </c>
      <c r="C21" s="487">
        <v>676365.56</v>
      </c>
      <c r="D21" s="488">
        <v>20231.04</v>
      </c>
      <c r="E21" s="230">
        <f t="shared" si="0"/>
        <v>-656134.52</v>
      </c>
      <c r="F21" s="182">
        <f t="shared" si="1"/>
        <v>-0.97008860119962337</v>
      </c>
      <c r="G21" s="226"/>
      <c r="H21" s="97" t="s">
        <v>8</v>
      </c>
      <c r="I21" s="28" t="s">
        <v>44</v>
      </c>
      <c r="J21" s="9">
        <f>J22+J23+J26</f>
        <v>16010547.789999999</v>
      </c>
      <c r="K21" s="82">
        <f>K22+K23+K26</f>
        <v>17244499.989999998</v>
      </c>
      <c r="L21" s="171">
        <f t="shared" si="2"/>
        <v>1233952.1999999993</v>
      </c>
      <c r="M21" s="172">
        <f t="shared" si="3"/>
        <v>7.7071204320111483E-2</v>
      </c>
    </row>
    <row r="22" spans="1:13" ht="15.75" thickBot="1">
      <c r="A22" s="24">
        <v>3</v>
      </c>
      <c r="B22" s="187" t="s">
        <v>40</v>
      </c>
      <c r="C22" s="489"/>
      <c r="D22" s="490"/>
      <c r="E22" s="231">
        <f t="shared" si="0"/>
        <v>0</v>
      </c>
      <c r="F22" s="183" t="e">
        <f t="shared" si="1"/>
        <v>#DIV/0!</v>
      </c>
      <c r="G22" s="226"/>
      <c r="H22" s="70">
        <v>1</v>
      </c>
      <c r="I22" s="30" t="s">
        <v>46</v>
      </c>
      <c r="J22" s="483"/>
      <c r="K22" s="484"/>
      <c r="L22" s="165">
        <f t="shared" si="2"/>
        <v>0</v>
      </c>
      <c r="M22" s="166" t="e">
        <f t="shared" si="3"/>
        <v>#DIV/0!</v>
      </c>
    </row>
    <row r="23" spans="1:13">
      <c r="A23" s="8" t="s">
        <v>16</v>
      </c>
      <c r="B23" s="28" t="s">
        <v>43</v>
      </c>
      <c r="C23" s="9">
        <f>C24+C25+C26</f>
        <v>0</v>
      </c>
      <c r="D23" s="82">
        <f>D24+D25+D26</f>
        <v>0</v>
      </c>
      <c r="E23" s="9">
        <f t="shared" si="0"/>
        <v>0</v>
      </c>
      <c r="F23" s="157" t="e">
        <f t="shared" si="1"/>
        <v>#DIV/0!</v>
      </c>
      <c r="G23" s="226"/>
      <c r="H23" s="70">
        <v>2</v>
      </c>
      <c r="I23" s="30" t="s">
        <v>48</v>
      </c>
      <c r="J23" s="13">
        <f>J24+J25</f>
        <v>10815967.789999999</v>
      </c>
      <c r="K23" s="173">
        <f>K24+K25</f>
        <v>11989673.989999998</v>
      </c>
      <c r="L23" s="165">
        <f t="shared" si="2"/>
        <v>1173706.1999999993</v>
      </c>
      <c r="M23" s="166">
        <f t="shared" si="3"/>
        <v>0.10851605910708795</v>
      </c>
    </row>
    <row r="24" spans="1:13">
      <c r="A24" s="12">
        <v>1</v>
      </c>
      <c r="B24" s="188" t="s">
        <v>45</v>
      </c>
      <c r="C24" s="483"/>
      <c r="D24" s="484"/>
      <c r="E24" s="229">
        <f t="shared" si="0"/>
        <v>0</v>
      </c>
      <c r="F24" s="181" t="e">
        <f t="shared" si="1"/>
        <v>#DIV/0!</v>
      </c>
      <c r="G24" s="226"/>
      <c r="H24" s="70"/>
      <c r="I24" s="30" t="s">
        <v>49</v>
      </c>
      <c r="J24" s="483">
        <v>9480583.5099999998</v>
      </c>
      <c r="K24" s="515">
        <v>10434928.369999999</v>
      </c>
      <c r="L24" s="165">
        <f t="shared" si="2"/>
        <v>954344.8599999994</v>
      </c>
      <c r="M24" s="166">
        <f t="shared" si="3"/>
        <v>0.10066309304626329</v>
      </c>
    </row>
    <row r="25" spans="1:13" ht="30">
      <c r="A25" s="151">
        <v>2</v>
      </c>
      <c r="B25" s="150" t="s">
        <v>47</v>
      </c>
      <c r="C25" s="491"/>
      <c r="D25" s="492"/>
      <c r="E25" s="231">
        <f t="shared" si="0"/>
        <v>0</v>
      </c>
      <c r="F25" s="183" t="e">
        <f t="shared" si="1"/>
        <v>#DIV/0!</v>
      </c>
      <c r="G25" s="226"/>
      <c r="H25" s="70"/>
      <c r="I25" s="30" t="s">
        <v>51</v>
      </c>
      <c r="J25" s="483">
        <v>1335384.28</v>
      </c>
      <c r="K25" s="515">
        <v>1554745.62</v>
      </c>
      <c r="L25" s="165">
        <f t="shared" si="2"/>
        <v>219361.34000000008</v>
      </c>
      <c r="M25" s="166">
        <f t="shared" si="3"/>
        <v>0.16426832581854273</v>
      </c>
    </row>
    <row r="26" spans="1:13" ht="15.75" thickBot="1">
      <c r="A26" s="14">
        <v>3</v>
      </c>
      <c r="B26" s="189" t="s">
        <v>50</v>
      </c>
      <c r="C26" s="485"/>
      <c r="D26" s="486"/>
      <c r="E26" s="231">
        <f t="shared" si="0"/>
        <v>0</v>
      </c>
      <c r="F26" s="183" t="e">
        <f t="shared" si="1"/>
        <v>#DIV/0!</v>
      </c>
      <c r="G26" s="226"/>
      <c r="H26" s="70">
        <v>3</v>
      </c>
      <c r="I26" s="30" t="s">
        <v>53</v>
      </c>
      <c r="J26" s="13">
        <f>J27+J28</f>
        <v>5194580</v>
      </c>
      <c r="K26" s="173">
        <f>K27+K28</f>
        <v>5254826</v>
      </c>
      <c r="L26" s="165">
        <f t="shared" si="2"/>
        <v>60246</v>
      </c>
      <c r="M26" s="166">
        <f t="shared" si="3"/>
        <v>1.1597857767134205E-2</v>
      </c>
    </row>
    <row r="27" spans="1:13">
      <c r="A27" s="18" t="s">
        <v>20</v>
      </c>
      <c r="B27" s="184" t="s">
        <v>52</v>
      </c>
      <c r="C27" s="9">
        <f>C28+C29+C30+C46</f>
        <v>0</v>
      </c>
      <c r="D27" s="82">
        <f>D28+D29+D30+D46</f>
        <v>0</v>
      </c>
      <c r="E27" s="9">
        <f t="shared" si="0"/>
        <v>0</v>
      </c>
      <c r="F27" s="157" t="e">
        <f t="shared" si="1"/>
        <v>#DIV/0!</v>
      </c>
      <c r="G27" s="226"/>
      <c r="H27" s="70"/>
      <c r="I27" s="30" t="s">
        <v>55</v>
      </c>
      <c r="J27" s="483"/>
      <c r="K27" s="484"/>
      <c r="L27" s="165">
        <f t="shared" si="2"/>
        <v>0</v>
      </c>
      <c r="M27" s="166" t="e">
        <f t="shared" si="3"/>
        <v>#DIV/0!</v>
      </c>
    </row>
    <row r="28" spans="1:13" ht="15.75" thickBot="1">
      <c r="A28" s="21">
        <v>1</v>
      </c>
      <c r="B28" s="185" t="s">
        <v>54</v>
      </c>
      <c r="C28" s="487"/>
      <c r="D28" s="488"/>
      <c r="E28" s="229">
        <f t="shared" si="0"/>
        <v>0</v>
      </c>
      <c r="F28" s="181" t="e">
        <f t="shared" si="1"/>
        <v>#DIV/0!</v>
      </c>
      <c r="G28" s="226"/>
      <c r="H28" s="70"/>
      <c r="I28" s="30" t="s">
        <v>56</v>
      </c>
      <c r="J28" s="485">
        <v>5194580</v>
      </c>
      <c r="K28" s="486">
        <v>5254826</v>
      </c>
      <c r="L28" s="169">
        <f t="shared" si="2"/>
        <v>60246</v>
      </c>
      <c r="M28" s="170">
        <f t="shared" si="3"/>
        <v>1.1597857767134205E-2</v>
      </c>
    </row>
    <row r="29" spans="1:13">
      <c r="A29" s="21">
        <v>2</v>
      </c>
      <c r="B29" s="186" t="s">
        <v>206</v>
      </c>
      <c r="C29" s="487"/>
      <c r="D29" s="488"/>
      <c r="E29" s="230">
        <f t="shared" si="0"/>
        <v>0</v>
      </c>
      <c r="F29" s="182" t="e">
        <f t="shared" si="1"/>
        <v>#DIV/0!</v>
      </c>
      <c r="G29" s="226"/>
      <c r="H29" s="97" t="s">
        <v>11</v>
      </c>
      <c r="I29" s="28" t="s">
        <v>58</v>
      </c>
      <c r="J29" s="9">
        <f>J30+J31+J32</f>
        <v>620220.97</v>
      </c>
      <c r="K29" s="82">
        <f>K30+K31+K32</f>
        <v>408048.83</v>
      </c>
      <c r="L29" s="174">
        <f t="shared" si="2"/>
        <v>-212172.13999999996</v>
      </c>
      <c r="M29" s="175">
        <f t="shared" si="3"/>
        <v>-0.34209120662269765</v>
      </c>
    </row>
    <row r="30" spans="1:13">
      <c r="A30" s="21">
        <v>3</v>
      </c>
      <c r="B30" s="186" t="s">
        <v>57</v>
      </c>
      <c r="C30" s="487"/>
      <c r="D30" s="488"/>
      <c r="E30" s="230">
        <f t="shared" si="0"/>
        <v>0</v>
      </c>
      <c r="F30" s="182" t="e">
        <f t="shared" si="1"/>
        <v>#DIV/0!</v>
      </c>
      <c r="G30" s="226"/>
      <c r="H30" s="70">
        <v>1</v>
      </c>
      <c r="I30" s="30" t="s">
        <v>60</v>
      </c>
      <c r="J30" s="483"/>
      <c r="K30" s="484"/>
      <c r="L30" s="163">
        <f t="shared" si="2"/>
        <v>0</v>
      </c>
      <c r="M30" s="164" t="e">
        <f t="shared" si="3"/>
        <v>#DIV/0!</v>
      </c>
    </row>
    <row r="31" spans="1:13" ht="30">
      <c r="A31" s="12" t="s">
        <v>21</v>
      </c>
      <c r="B31" s="188" t="s">
        <v>59</v>
      </c>
      <c r="C31" s="13">
        <f>SUM(C32:C35)</f>
        <v>0</v>
      </c>
      <c r="D31" s="83">
        <f>SUM(D32:D35)</f>
        <v>0</v>
      </c>
      <c r="E31" s="230">
        <f t="shared" si="0"/>
        <v>0</v>
      </c>
      <c r="F31" s="182" t="e">
        <f t="shared" si="1"/>
        <v>#DIV/0!</v>
      </c>
      <c r="G31" s="226"/>
      <c r="H31" s="151">
        <v>2</v>
      </c>
      <c r="I31" s="207" t="s">
        <v>62</v>
      </c>
      <c r="J31" s="491"/>
      <c r="K31" s="516"/>
      <c r="L31" s="169">
        <f t="shared" si="2"/>
        <v>0</v>
      </c>
      <c r="M31" s="170" t="e">
        <f t="shared" si="3"/>
        <v>#DIV/0!</v>
      </c>
    </row>
    <row r="32" spans="1:13">
      <c r="A32" s="12"/>
      <c r="B32" s="188" t="s">
        <v>61</v>
      </c>
      <c r="C32" s="483"/>
      <c r="D32" s="484"/>
      <c r="E32" s="230">
        <f t="shared" si="0"/>
        <v>0</v>
      </c>
      <c r="F32" s="182" t="e">
        <f t="shared" si="1"/>
        <v>#DIV/0!</v>
      </c>
      <c r="G32" s="226"/>
      <c r="H32" s="70">
        <v>3</v>
      </c>
      <c r="I32" s="30" t="s">
        <v>65</v>
      </c>
      <c r="J32" s="13">
        <f>SUM(J33:J37)</f>
        <v>620220.97</v>
      </c>
      <c r="K32" s="173">
        <f>SUM(K33:K37)</f>
        <v>408048.83</v>
      </c>
      <c r="L32" s="165">
        <f t="shared" si="2"/>
        <v>-212172.13999999996</v>
      </c>
      <c r="M32" s="166">
        <f t="shared" si="3"/>
        <v>-0.34209120662269765</v>
      </c>
    </row>
    <row r="33" spans="1:13">
      <c r="A33" s="12"/>
      <c r="B33" s="188" t="s">
        <v>63</v>
      </c>
      <c r="C33" s="483"/>
      <c r="D33" s="484"/>
      <c r="E33" s="230">
        <f t="shared" si="0"/>
        <v>0</v>
      </c>
      <c r="F33" s="182" t="e">
        <f t="shared" si="1"/>
        <v>#DIV/0!</v>
      </c>
      <c r="G33" s="226"/>
      <c r="H33" s="70" t="s">
        <v>21</v>
      </c>
      <c r="I33" s="30" t="s">
        <v>67</v>
      </c>
      <c r="J33" s="483"/>
      <c r="K33" s="515"/>
      <c r="L33" s="165">
        <f t="shared" si="2"/>
        <v>0</v>
      </c>
      <c r="M33" s="166" t="e">
        <f t="shared" si="3"/>
        <v>#DIV/0!</v>
      </c>
    </row>
    <row r="34" spans="1:13">
      <c r="A34" s="12"/>
      <c r="B34" s="188" t="s">
        <v>64</v>
      </c>
      <c r="C34" s="483"/>
      <c r="D34" s="484"/>
      <c r="E34" s="230">
        <f t="shared" si="0"/>
        <v>0</v>
      </c>
      <c r="F34" s="182" t="e">
        <f t="shared" si="1"/>
        <v>#DIV/0!</v>
      </c>
      <c r="G34" s="226"/>
      <c r="H34" s="70" t="s">
        <v>24</v>
      </c>
      <c r="I34" s="30" t="s">
        <v>69</v>
      </c>
      <c r="J34" s="778"/>
      <c r="K34" s="484"/>
      <c r="L34" s="165">
        <f t="shared" si="2"/>
        <v>0</v>
      </c>
      <c r="M34" s="166" t="e">
        <f t="shared" si="3"/>
        <v>#DIV/0!</v>
      </c>
    </row>
    <row r="35" spans="1:13">
      <c r="A35" s="12"/>
      <c r="B35" s="30" t="s">
        <v>66</v>
      </c>
      <c r="C35" s="483"/>
      <c r="D35" s="484"/>
      <c r="E35" s="230">
        <f t="shared" si="0"/>
        <v>0</v>
      </c>
      <c r="F35" s="182" t="e">
        <f t="shared" si="1"/>
        <v>#DIV/0!</v>
      </c>
      <c r="G35" s="226"/>
      <c r="H35" s="70" t="s">
        <v>27</v>
      </c>
      <c r="I35" s="30" t="s">
        <v>70</v>
      </c>
      <c r="J35" s="777">
        <v>0</v>
      </c>
      <c r="K35" s="484">
        <v>408048.83</v>
      </c>
      <c r="L35" s="165">
        <f>K35-J37</f>
        <v>-212172.13999999996</v>
      </c>
      <c r="M35" s="166">
        <f>L35/J37</f>
        <v>-0.34209120662269765</v>
      </c>
    </row>
    <row r="36" spans="1:13" ht="30">
      <c r="A36" s="215" t="s">
        <v>24</v>
      </c>
      <c r="B36" s="207" t="s">
        <v>68</v>
      </c>
      <c r="C36" s="208">
        <f>SUM(C37:C40)</f>
        <v>0</v>
      </c>
      <c r="D36" s="228">
        <f>SUM(D37:D40)</f>
        <v>0</v>
      </c>
      <c r="E36" s="231">
        <f t="shared" si="0"/>
        <v>0</v>
      </c>
      <c r="F36" s="183" t="e">
        <f t="shared" si="1"/>
        <v>#DIV/0!</v>
      </c>
      <c r="G36" s="226"/>
      <c r="H36" s="70" t="s">
        <v>31</v>
      </c>
      <c r="I36" s="30" t="s">
        <v>71</v>
      </c>
      <c r="J36" s="778"/>
      <c r="K36" s="484"/>
      <c r="L36" s="165">
        <f t="shared" si="2"/>
        <v>0</v>
      </c>
      <c r="M36" s="166" t="e">
        <f t="shared" si="3"/>
        <v>#DIV/0!</v>
      </c>
    </row>
    <row r="37" spans="1:13" ht="15.75" thickBot="1">
      <c r="A37" s="69"/>
      <c r="B37" s="190" t="s">
        <v>61</v>
      </c>
      <c r="C37" s="493"/>
      <c r="D37" s="494"/>
      <c r="E37" s="230">
        <f t="shared" si="0"/>
        <v>0</v>
      </c>
      <c r="F37" s="182" t="e">
        <f t="shared" si="1"/>
        <v>#DIV/0!</v>
      </c>
      <c r="G37" s="226"/>
      <c r="H37" s="70" t="s">
        <v>35</v>
      </c>
      <c r="I37" s="30" t="s">
        <v>72</v>
      </c>
      <c r="J37" s="483">
        <v>620220.97</v>
      </c>
      <c r="K37" s="486">
        <v>0</v>
      </c>
      <c r="L37" s="169" t="e">
        <f>K37-#REF!</f>
        <v>#REF!</v>
      </c>
      <c r="M37" s="170" t="e">
        <f>L37/#REF!</f>
        <v>#REF!</v>
      </c>
    </row>
    <row r="38" spans="1:13">
      <c r="A38" s="69"/>
      <c r="B38" s="190" t="s">
        <v>63</v>
      </c>
      <c r="C38" s="493"/>
      <c r="D38" s="494"/>
      <c r="E38" s="230">
        <f t="shared" si="0"/>
        <v>0</v>
      </c>
      <c r="F38" s="182" t="e">
        <f t="shared" si="1"/>
        <v>#DIV/0!</v>
      </c>
      <c r="G38" s="226"/>
      <c r="H38" s="97" t="s">
        <v>16</v>
      </c>
      <c r="I38" s="28" t="s">
        <v>73</v>
      </c>
      <c r="J38" s="9">
        <f>J39+J49+J61</f>
        <v>26882382.649999999</v>
      </c>
      <c r="K38" s="82">
        <f>K39+K49+K61</f>
        <v>28152108.349999998</v>
      </c>
      <c r="L38" s="174">
        <f t="shared" si="2"/>
        <v>1269725.6999999993</v>
      </c>
      <c r="M38" s="175">
        <f t="shared" si="3"/>
        <v>4.7232632483936436E-2</v>
      </c>
    </row>
    <row r="39" spans="1:13">
      <c r="A39" s="69"/>
      <c r="B39" s="190" t="s">
        <v>64</v>
      </c>
      <c r="C39" s="493"/>
      <c r="D39" s="494"/>
      <c r="E39" s="230">
        <f t="shared" si="0"/>
        <v>0</v>
      </c>
      <c r="F39" s="182" t="e">
        <f t="shared" si="1"/>
        <v>#DIV/0!</v>
      </c>
      <c r="G39" s="226"/>
      <c r="H39" s="70">
        <v>1</v>
      </c>
      <c r="I39" s="30" t="s">
        <v>60</v>
      </c>
      <c r="J39" s="13">
        <f>J40+J43</f>
        <v>0</v>
      </c>
      <c r="K39" s="173">
        <f>K40+K43</f>
        <v>0</v>
      </c>
      <c r="L39" s="163">
        <f t="shared" si="2"/>
        <v>0</v>
      </c>
      <c r="M39" s="164" t="e">
        <f t="shared" si="3"/>
        <v>#DIV/0!</v>
      </c>
    </row>
    <row r="40" spans="1:13">
      <c r="A40" s="69"/>
      <c r="B40" s="33" t="s">
        <v>66</v>
      </c>
      <c r="C40" s="493"/>
      <c r="D40" s="494"/>
      <c r="E40" s="230">
        <f t="shared" si="0"/>
        <v>0</v>
      </c>
      <c r="F40" s="182" t="e">
        <f t="shared" si="1"/>
        <v>#DIV/0!</v>
      </c>
      <c r="G40" s="226"/>
      <c r="H40" s="70" t="s">
        <v>21</v>
      </c>
      <c r="I40" s="30" t="s">
        <v>75</v>
      </c>
      <c r="J40" s="13">
        <f>J41+J42</f>
        <v>0</v>
      </c>
      <c r="K40" s="173">
        <f>K41+K42</f>
        <v>0</v>
      </c>
      <c r="L40" s="165">
        <f t="shared" si="2"/>
        <v>0</v>
      </c>
      <c r="M40" s="166" t="e">
        <f t="shared" si="3"/>
        <v>#DIV/0!</v>
      </c>
    </row>
    <row r="41" spans="1:13">
      <c r="A41" s="12" t="s">
        <v>27</v>
      </c>
      <c r="B41" s="188" t="s">
        <v>74</v>
      </c>
      <c r="C41" s="13">
        <f>SUM(C42:C45)</f>
        <v>0</v>
      </c>
      <c r="D41" s="83">
        <f>SUM(D42:D45)</f>
        <v>0</v>
      </c>
      <c r="E41" s="230">
        <f t="shared" si="0"/>
        <v>0</v>
      </c>
      <c r="F41" s="182" t="e">
        <f t="shared" si="1"/>
        <v>#DIV/0!</v>
      </c>
      <c r="G41" s="226"/>
      <c r="H41" s="70"/>
      <c r="I41" s="29" t="s">
        <v>76</v>
      </c>
      <c r="J41" s="483"/>
      <c r="K41" s="515"/>
      <c r="L41" s="165">
        <f t="shared" si="2"/>
        <v>0</v>
      </c>
      <c r="M41" s="166" t="e">
        <f t="shared" si="3"/>
        <v>#DIV/0!</v>
      </c>
    </row>
    <row r="42" spans="1:13">
      <c r="A42" s="12"/>
      <c r="B42" s="188" t="s">
        <v>61</v>
      </c>
      <c r="C42" s="483"/>
      <c r="D42" s="484"/>
      <c r="E42" s="230">
        <f t="shared" si="0"/>
        <v>0</v>
      </c>
      <c r="F42" s="182" t="e">
        <f t="shared" si="1"/>
        <v>#DIV/0!</v>
      </c>
      <c r="G42" s="226"/>
      <c r="H42" s="70"/>
      <c r="I42" s="29" t="s">
        <v>77</v>
      </c>
      <c r="J42" s="483"/>
      <c r="K42" s="515"/>
      <c r="L42" s="165">
        <f t="shared" si="2"/>
        <v>0</v>
      </c>
      <c r="M42" s="166" t="e">
        <f t="shared" si="3"/>
        <v>#DIV/0!</v>
      </c>
    </row>
    <row r="43" spans="1:13">
      <c r="A43" s="12"/>
      <c r="B43" s="188" t="s">
        <v>63</v>
      </c>
      <c r="C43" s="483"/>
      <c r="D43" s="484"/>
      <c r="E43" s="230">
        <f t="shared" si="0"/>
        <v>0</v>
      </c>
      <c r="F43" s="182" t="e">
        <f t="shared" si="1"/>
        <v>#DIV/0!</v>
      </c>
      <c r="G43" s="226"/>
      <c r="H43" s="70" t="s">
        <v>24</v>
      </c>
      <c r="I43" s="30" t="s">
        <v>78</v>
      </c>
      <c r="J43" s="483"/>
      <c r="K43" s="515"/>
      <c r="L43" s="165">
        <f t="shared" si="2"/>
        <v>0</v>
      </c>
      <c r="M43" s="166" t="e">
        <f t="shared" si="3"/>
        <v>#DIV/0!</v>
      </c>
    </row>
    <row r="44" spans="1:13" ht="30">
      <c r="A44" s="12"/>
      <c r="B44" s="188" t="s">
        <v>64</v>
      </c>
      <c r="C44" s="483"/>
      <c r="D44" s="484"/>
      <c r="E44" s="230">
        <f t="shared" si="0"/>
        <v>0</v>
      </c>
      <c r="F44" s="182" t="e">
        <f t="shared" si="1"/>
        <v>#DIV/0!</v>
      </c>
      <c r="G44" s="226"/>
      <c r="H44" s="151">
        <v>2</v>
      </c>
      <c r="I44" s="207" t="s">
        <v>62</v>
      </c>
      <c r="J44" s="208">
        <f>J45+J48</f>
        <v>0</v>
      </c>
      <c r="K44" s="216">
        <f>K45+K48</f>
        <v>0</v>
      </c>
      <c r="L44" s="169">
        <f>K44-J44</f>
        <v>0</v>
      </c>
      <c r="M44" s="170" t="e">
        <f>L44/J44</f>
        <v>#DIV/0!</v>
      </c>
    </row>
    <row r="45" spans="1:13">
      <c r="A45" s="12"/>
      <c r="B45" s="30" t="s">
        <v>66</v>
      </c>
      <c r="C45" s="483"/>
      <c r="D45" s="484"/>
      <c r="E45" s="230">
        <f t="shared" si="0"/>
        <v>0</v>
      </c>
      <c r="F45" s="182" t="e">
        <f t="shared" si="1"/>
        <v>#DIV/0!</v>
      </c>
      <c r="G45" s="226"/>
      <c r="H45" s="219" t="s">
        <v>21</v>
      </c>
      <c r="I45" s="33" t="s">
        <v>75</v>
      </c>
      <c r="J45" s="32">
        <f>J46+J47</f>
        <v>0</v>
      </c>
      <c r="K45" s="176">
        <f>K46+K47</f>
        <v>0</v>
      </c>
      <c r="L45" s="165">
        <f t="shared" si="2"/>
        <v>0</v>
      </c>
      <c r="M45" s="166" t="e">
        <f t="shared" si="3"/>
        <v>#DIV/0!</v>
      </c>
    </row>
    <row r="46" spans="1:13" ht="15.75" thickBot="1">
      <c r="A46" s="24">
        <v>4</v>
      </c>
      <c r="B46" s="191" t="s">
        <v>79</v>
      </c>
      <c r="C46" s="489"/>
      <c r="D46" s="490"/>
      <c r="E46" s="231">
        <f t="shared" si="0"/>
        <v>0</v>
      </c>
      <c r="F46" s="183" t="e">
        <f t="shared" si="1"/>
        <v>#DIV/0!</v>
      </c>
      <c r="G46" s="226"/>
      <c r="H46" s="219"/>
      <c r="I46" s="31" t="s">
        <v>76</v>
      </c>
      <c r="J46" s="483"/>
      <c r="K46" s="515"/>
      <c r="L46" s="165">
        <f t="shared" si="2"/>
        <v>0</v>
      </c>
      <c r="M46" s="166" t="e">
        <f t="shared" si="3"/>
        <v>#DIV/0!</v>
      </c>
    </row>
    <row r="47" spans="1:13">
      <c r="A47" s="8" t="s">
        <v>80</v>
      </c>
      <c r="B47" s="28" t="s">
        <v>81</v>
      </c>
      <c r="C47" s="9">
        <f>C48+C49</f>
        <v>54427</v>
      </c>
      <c r="D47" s="82">
        <f>D48+D49</f>
        <v>36902.800000000003</v>
      </c>
      <c r="E47" s="9">
        <f t="shared" si="0"/>
        <v>-17524.199999999997</v>
      </c>
      <c r="F47" s="157">
        <f t="shared" si="1"/>
        <v>-0.32197622503536844</v>
      </c>
      <c r="G47" s="226"/>
      <c r="H47" s="219"/>
      <c r="I47" s="31" t="s">
        <v>77</v>
      </c>
      <c r="J47" s="493"/>
      <c r="K47" s="517"/>
      <c r="L47" s="165">
        <f t="shared" si="2"/>
        <v>0</v>
      </c>
      <c r="M47" s="166" t="e">
        <f t="shared" si="3"/>
        <v>#DIV/0!</v>
      </c>
    </row>
    <row r="48" spans="1:13" ht="30">
      <c r="A48" s="12">
        <v>1</v>
      </c>
      <c r="B48" s="30" t="s">
        <v>82</v>
      </c>
      <c r="C48" s="483"/>
      <c r="D48" s="484"/>
      <c r="E48" s="229">
        <f t="shared" si="0"/>
        <v>0</v>
      </c>
      <c r="F48" s="181" t="e">
        <f t="shared" si="1"/>
        <v>#DIV/0!</v>
      </c>
      <c r="G48" s="226"/>
      <c r="H48" s="219" t="s">
        <v>24</v>
      </c>
      <c r="I48" s="33" t="s">
        <v>78</v>
      </c>
      <c r="J48" s="493"/>
      <c r="K48" s="517"/>
      <c r="L48" s="165">
        <f t="shared" si="2"/>
        <v>0</v>
      </c>
      <c r="M48" s="166" t="e">
        <f t="shared" si="3"/>
        <v>#DIV/0!</v>
      </c>
    </row>
    <row r="49" spans="1:13" ht="15.75" thickBot="1">
      <c r="A49" s="14">
        <v>2</v>
      </c>
      <c r="B49" s="40" t="s">
        <v>83</v>
      </c>
      <c r="C49" s="485">
        <v>54427</v>
      </c>
      <c r="D49" s="486">
        <v>36902.800000000003</v>
      </c>
      <c r="E49" s="231">
        <f t="shared" si="0"/>
        <v>-17524.199999999997</v>
      </c>
      <c r="F49" s="183">
        <f t="shared" si="1"/>
        <v>-0.32197622503536844</v>
      </c>
      <c r="G49" s="226"/>
      <c r="H49" s="70">
        <v>3</v>
      </c>
      <c r="I49" s="30" t="s">
        <v>65</v>
      </c>
      <c r="J49" s="13">
        <f>J50+J51+J52+J53+J56+J57+J58+J59+J60</f>
        <v>25459021.52</v>
      </c>
      <c r="K49" s="173">
        <f>K50+K51+K52+K53+K56+K57+K58+K59+K60</f>
        <v>26230756.439999998</v>
      </c>
      <c r="L49" s="165">
        <f t="shared" si="2"/>
        <v>771734.91999999806</v>
      </c>
      <c r="M49" s="166">
        <f t="shared" si="3"/>
        <v>3.0312827199338418E-2</v>
      </c>
    </row>
    <row r="50" spans="1:13">
      <c r="A50" s="34" t="s">
        <v>41</v>
      </c>
      <c r="B50" s="192" t="s">
        <v>84</v>
      </c>
      <c r="C50" s="35">
        <f>C51+C57+C75+C92</f>
        <v>47932303.5</v>
      </c>
      <c r="D50" s="267">
        <f>D51+D57+D75+D92</f>
        <v>52107893.539999999</v>
      </c>
      <c r="E50" s="35">
        <f t="shared" si="0"/>
        <v>4175590.0399999991</v>
      </c>
      <c r="F50" s="156">
        <f t="shared" si="1"/>
        <v>8.7114320303842668E-2</v>
      </c>
      <c r="G50" s="226"/>
      <c r="H50" s="70" t="s">
        <v>21</v>
      </c>
      <c r="I50" s="30" t="s">
        <v>67</v>
      </c>
      <c r="J50" s="483"/>
      <c r="K50" s="515"/>
      <c r="L50" s="165">
        <f t="shared" si="2"/>
        <v>0</v>
      </c>
      <c r="M50" s="166" t="e">
        <f t="shared" si="3"/>
        <v>#DIV/0!</v>
      </c>
    </row>
    <row r="51" spans="1:13" ht="15.75" thickBot="1">
      <c r="A51" s="36" t="s">
        <v>8</v>
      </c>
      <c r="B51" s="193" t="s">
        <v>85</v>
      </c>
      <c r="C51" s="37">
        <f>C52+C53+C54+C55+C56</f>
        <v>591450.08000000007</v>
      </c>
      <c r="D51" s="88">
        <f>D52+D53+D54+D55+D56</f>
        <v>640219.02</v>
      </c>
      <c r="E51" s="232">
        <f t="shared" si="0"/>
        <v>48768.939999999944</v>
      </c>
      <c r="F51" s="155">
        <f t="shared" si="1"/>
        <v>8.2456561676346268E-2</v>
      </c>
      <c r="G51" s="226"/>
      <c r="H51" s="70" t="s">
        <v>24</v>
      </c>
      <c r="I51" s="30" t="s">
        <v>69</v>
      </c>
      <c r="J51" s="483"/>
      <c r="K51" s="515"/>
      <c r="L51" s="165">
        <f t="shared" si="2"/>
        <v>0</v>
      </c>
      <c r="M51" s="166" t="e">
        <f t="shared" si="3"/>
        <v>#DIV/0!</v>
      </c>
    </row>
    <row r="52" spans="1:13">
      <c r="A52" s="38">
        <v>1</v>
      </c>
      <c r="B52" s="66" t="s">
        <v>86</v>
      </c>
      <c r="C52" s="495">
        <v>510769.26</v>
      </c>
      <c r="D52" s="496">
        <v>583232.09</v>
      </c>
      <c r="E52" s="229">
        <f t="shared" si="0"/>
        <v>72462.829999999958</v>
      </c>
      <c r="F52" s="181">
        <f t="shared" si="1"/>
        <v>0.1418699903749101</v>
      </c>
      <c r="G52" s="226"/>
      <c r="H52" s="70" t="s">
        <v>27</v>
      </c>
      <c r="I52" s="30" t="s">
        <v>70</v>
      </c>
      <c r="J52" s="483"/>
      <c r="K52" s="515">
        <v>111334.73</v>
      </c>
      <c r="L52" s="165">
        <f t="shared" si="2"/>
        <v>111334.73</v>
      </c>
      <c r="M52" s="166" t="e">
        <f t="shared" si="3"/>
        <v>#DIV/0!</v>
      </c>
    </row>
    <row r="53" spans="1:13">
      <c r="A53" s="12">
        <v>2</v>
      </c>
      <c r="B53" s="30" t="s">
        <v>87</v>
      </c>
      <c r="C53" s="483"/>
      <c r="D53" s="484"/>
      <c r="E53" s="230">
        <f t="shared" si="0"/>
        <v>0</v>
      </c>
      <c r="F53" s="182" t="e">
        <f t="shared" si="1"/>
        <v>#DIV/0!</v>
      </c>
      <c r="G53" s="226"/>
      <c r="H53" s="220" t="s">
        <v>31</v>
      </c>
      <c r="I53" s="177" t="s">
        <v>75</v>
      </c>
      <c r="J53" s="154">
        <f>J54+J55</f>
        <v>6710000.2199999997</v>
      </c>
      <c r="K53" s="178">
        <f>K54+K55</f>
        <v>6168628.79</v>
      </c>
      <c r="L53" s="163">
        <f t="shared" si="2"/>
        <v>-541371.4299999997</v>
      </c>
      <c r="M53" s="164">
        <f t="shared" si="3"/>
        <v>-8.0681283494801401E-2</v>
      </c>
    </row>
    <row r="54" spans="1:13">
      <c r="A54" s="12">
        <v>3</v>
      </c>
      <c r="B54" s="30" t="s">
        <v>88</v>
      </c>
      <c r="C54" s="483"/>
      <c r="D54" s="484"/>
      <c r="E54" s="230">
        <f t="shared" si="0"/>
        <v>0</v>
      </c>
      <c r="F54" s="182" t="e">
        <f t="shared" si="1"/>
        <v>#DIV/0!</v>
      </c>
      <c r="G54" s="226"/>
      <c r="H54" s="70"/>
      <c r="I54" s="29" t="s">
        <v>76</v>
      </c>
      <c r="J54" s="483">
        <v>6710000.2199999997</v>
      </c>
      <c r="K54" s="515">
        <v>6168628.79</v>
      </c>
      <c r="L54" s="165">
        <f t="shared" si="2"/>
        <v>-541371.4299999997</v>
      </c>
      <c r="M54" s="166">
        <f t="shared" si="3"/>
        <v>-8.0681283494801401E-2</v>
      </c>
    </row>
    <row r="55" spans="1:13">
      <c r="A55" s="198">
        <v>4</v>
      </c>
      <c r="B55" s="177" t="s">
        <v>89</v>
      </c>
      <c r="C55" s="497">
        <v>80680.820000000007</v>
      </c>
      <c r="D55" s="498">
        <v>56986.93</v>
      </c>
      <c r="E55" s="230">
        <f t="shared" si="0"/>
        <v>-23693.890000000007</v>
      </c>
      <c r="F55" s="182">
        <f t="shared" si="1"/>
        <v>-0.29367438258560097</v>
      </c>
      <c r="G55" s="226"/>
      <c r="H55" s="70"/>
      <c r="I55" s="29" t="s">
        <v>77</v>
      </c>
      <c r="J55" s="483"/>
      <c r="K55" s="484"/>
      <c r="L55" s="165">
        <f t="shared" si="2"/>
        <v>0</v>
      </c>
      <c r="M55" s="166" t="e">
        <f t="shared" si="3"/>
        <v>#DIV/0!</v>
      </c>
    </row>
    <row r="56" spans="1:13" ht="15.75" thickBot="1">
      <c r="A56" s="14">
        <v>5</v>
      </c>
      <c r="B56" s="194" t="s">
        <v>90</v>
      </c>
      <c r="C56" s="485"/>
      <c r="D56" s="486"/>
      <c r="E56" s="231">
        <f t="shared" si="0"/>
        <v>0</v>
      </c>
      <c r="F56" s="183" t="e">
        <f t="shared" si="1"/>
        <v>#DIV/0!</v>
      </c>
      <c r="G56" s="226"/>
      <c r="H56" s="70" t="s">
        <v>35</v>
      </c>
      <c r="I56" s="30" t="s">
        <v>93</v>
      </c>
      <c r="J56" s="483"/>
      <c r="K56" s="498"/>
      <c r="L56" s="165">
        <f t="shared" si="2"/>
        <v>0</v>
      </c>
      <c r="M56" s="166" t="e">
        <f t="shared" si="3"/>
        <v>#DIV/0!</v>
      </c>
    </row>
    <row r="57" spans="1:13">
      <c r="A57" s="18" t="s">
        <v>11</v>
      </c>
      <c r="B57" s="184" t="s">
        <v>91</v>
      </c>
      <c r="C57" s="9">
        <f>C58+C63+C68</f>
        <v>6056341.0200000005</v>
      </c>
      <c r="D57" s="293">
        <f>D58+D63+D68</f>
        <v>2378142.91</v>
      </c>
      <c r="E57" s="9">
        <f t="shared" si="0"/>
        <v>-3678198.1100000003</v>
      </c>
      <c r="F57" s="157">
        <f t="shared" si="1"/>
        <v>-0.60733008558358892</v>
      </c>
      <c r="G57" s="226"/>
      <c r="H57" s="70" t="s">
        <v>95</v>
      </c>
      <c r="I57" s="30" t="s">
        <v>71</v>
      </c>
      <c r="J57" s="483"/>
      <c r="K57" s="484"/>
      <c r="L57" s="165">
        <f t="shared" si="2"/>
        <v>0</v>
      </c>
      <c r="M57" s="166" t="e">
        <f t="shared" si="3"/>
        <v>#DIV/0!</v>
      </c>
    </row>
    <row r="58" spans="1:13" ht="30">
      <c r="A58" s="21">
        <v>1</v>
      </c>
      <c r="B58" s="186" t="s">
        <v>92</v>
      </c>
      <c r="C58" s="22">
        <f>C59+C62</f>
        <v>0</v>
      </c>
      <c r="D58" s="85">
        <f>D59+D62</f>
        <v>0</v>
      </c>
      <c r="E58" s="229">
        <f t="shared" si="0"/>
        <v>0</v>
      </c>
      <c r="F58" s="181" t="e">
        <f t="shared" si="1"/>
        <v>#DIV/0!</v>
      </c>
      <c r="G58" s="226"/>
      <c r="H58" s="70" t="s">
        <v>96</v>
      </c>
      <c r="I58" s="33" t="s">
        <v>97</v>
      </c>
      <c r="J58" s="483">
        <v>8868928.5600000005</v>
      </c>
      <c r="K58" s="484">
        <v>8920841.1500000004</v>
      </c>
      <c r="L58" s="165">
        <f t="shared" si="2"/>
        <v>51912.589999999851</v>
      </c>
      <c r="M58" s="166">
        <f t="shared" si="3"/>
        <v>5.8533101996257201E-3</v>
      </c>
    </row>
    <row r="59" spans="1:13">
      <c r="A59" s="12" t="s">
        <v>21</v>
      </c>
      <c r="B59" s="30" t="s">
        <v>94</v>
      </c>
      <c r="C59" s="13">
        <f>C60+C61</f>
        <v>0</v>
      </c>
      <c r="D59" s="83">
        <f>D60+D61</f>
        <v>0</v>
      </c>
      <c r="E59" s="230">
        <f t="shared" si="0"/>
        <v>0</v>
      </c>
      <c r="F59" s="182" t="e">
        <f t="shared" si="1"/>
        <v>#DIV/0!</v>
      </c>
      <c r="G59" s="226"/>
      <c r="H59" s="70" t="s">
        <v>98</v>
      </c>
      <c r="I59" s="30" t="s">
        <v>99</v>
      </c>
      <c r="J59" s="483">
        <v>4969651.01</v>
      </c>
      <c r="K59" s="484">
        <v>5911346.5099999998</v>
      </c>
      <c r="L59" s="165">
        <f t="shared" si="2"/>
        <v>941695.5</v>
      </c>
      <c r="M59" s="166">
        <f t="shared" si="3"/>
        <v>0.18948926154072135</v>
      </c>
    </row>
    <row r="60" spans="1:13">
      <c r="A60" s="12"/>
      <c r="B60" s="188" t="s">
        <v>76</v>
      </c>
      <c r="C60" s="483"/>
      <c r="D60" s="484"/>
      <c r="E60" s="230">
        <f t="shared" si="0"/>
        <v>0</v>
      </c>
      <c r="F60" s="182" t="e">
        <f t="shared" si="1"/>
        <v>#DIV/0!</v>
      </c>
      <c r="G60" s="226"/>
      <c r="H60" s="70" t="s">
        <v>100</v>
      </c>
      <c r="I60" s="30" t="s">
        <v>78</v>
      </c>
      <c r="J60" s="483">
        <v>4910441.7300000004</v>
      </c>
      <c r="K60" s="484">
        <v>5118605.26</v>
      </c>
      <c r="L60" s="165">
        <f t="shared" si="2"/>
        <v>208163.52999999933</v>
      </c>
      <c r="M60" s="166">
        <f t="shared" si="3"/>
        <v>4.2392017143435143E-2</v>
      </c>
    </row>
    <row r="61" spans="1:13" ht="15.75" thickBot="1">
      <c r="A61" s="12"/>
      <c r="B61" s="188" t="s">
        <v>77</v>
      </c>
      <c r="C61" s="483"/>
      <c r="D61" s="484"/>
      <c r="E61" s="230">
        <f t="shared" si="0"/>
        <v>0</v>
      </c>
      <c r="F61" s="182" t="e">
        <f t="shared" si="1"/>
        <v>#DIV/0!</v>
      </c>
      <c r="G61" s="226"/>
      <c r="H61" s="70">
        <v>4</v>
      </c>
      <c r="I61" s="30" t="s">
        <v>102</v>
      </c>
      <c r="J61" s="485">
        <v>1423361.13</v>
      </c>
      <c r="K61" s="486">
        <v>1921351.91</v>
      </c>
      <c r="L61" s="169">
        <f t="shared" si="2"/>
        <v>497990.78</v>
      </c>
      <c r="M61" s="170">
        <f t="shared" si="3"/>
        <v>0.3498695935303503</v>
      </c>
    </row>
    <row r="62" spans="1:13">
      <c r="A62" s="12" t="s">
        <v>24</v>
      </c>
      <c r="B62" s="30" t="s">
        <v>78</v>
      </c>
      <c r="C62" s="483"/>
      <c r="D62" s="484"/>
      <c r="E62" s="230">
        <f t="shared" si="0"/>
        <v>0</v>
      </c>
      <c r="F62" s="182" t="e">
        <f t="shared" si="1"/>
        <v>#DIV/0!</v>
      </c>
      <c r="G62" s="226"/>
      <c r="H62" s="97" t="s">
        <v>20</v>
      </c>
      <c r="I62" s="28" t="s">
        <v>103</v>
      </c>
      <c r="J62" s="9">
        <f>J63+J64</f>
        <v>13264116.060000001</v>
      </c>
      <c r="K62" s="82">
        <f>K63+K64</f>
        <v>12363592.529999999</v>
      </c>
      <c r="L62" s="174">
        <f t="shared" si="2"/>
        <v>-900523.53000000119</v>
      </c>
      <c r="M62" s="175">
        <f t="shared" si="3"/>
        <v>-6.7891710682151649E-2</v>
      </c>
    </row>
    <row r="63" spans="1:13" ht="30">
      <c r="A63" s="67">
        <v>2</v>
      </c>
      <c r="B63" s="195" t="s">
        <v>101</v>
      </c>
      <c r="C63" s="68">
        <f>C64+C67</f>
        <v>0</v>
      </c>
      <c r="D63" s="90">
        <f>D64+D67</f>
        <v>0</v>
      </c>
      <c r="E63" s="230">
        <f t="shared" si="0"/>
        <v>0</v>
      </c>
      <c r="F63" s="182" t="e">
        <f t="shared" si="1"/>
        <v>#DIV/0!</v>
      </c>
      <c r="G63" s="226"/>
      <c r="H63" s="70">
        <v>1</v>
      </c>
      <c r="I63" s="30" t="s">
        <v>104</v>
      </c>
      <c r="J63" s="483"/>
      <c r="K63" s="484"/>
      <c r="L63" s="163">
        <f t="shared" si="2"/>
        <v>0</v>
      </c>
      <c r="M63" s="164" t="e">
        <f t="shared" si="3"/>
        <v>#DIV/0!</v>
      </c>
    </row>
    <row r="64" spans="1:13">
      <c r="A64" s="69" t="s">
        <v>21</v>
      </c>
      <c r="B64" s="33" t="s">
        <v>94</v>
      </c>
      <c r="C64" s="32">
        <f>C65+C66</f>
        <v>0</v>
      </c>
      <c r="D64" s="87">
        <f>D65+D66</f>
        <v>0</v>
      </c>
      <c r="E64" s="230">
        <f t="shared" si="0"/>
        <v>0</v>
      </c>
      <c r="F64" s="182" t="e">
        <f t="shared" si="1"/>
        <v>#DIV/0!</v>
      </c>
      <c r="G64" s="226"/>
      <c r="H64" s="70">
        <v>2</v>
      </c>
      <c r="I64" s="30" t="s">
        <v>83</v>
      </c>
      <c r="J64" s="13">
        <f>J65+J66</f>
        <v>13264116.060000001</v>
      </c>
      <c r="K64" s="173">
        <f>K65+K66</f>
        <v>12363592.529999999</v>
      </c>
      <c r="L64" s="165">
        <f t="shared" si="2"/>
        <v>-900523.53000000119</v>
      </c>
      <c r="M64" s="166">
        <f t="shared" si="3"/>
        <v>-6.7891710682151649E-2</v>
      </c>
    </row>
    <row r="65" spans="1:13">
      <c r="A65" s="69"/>
      <c r="B65" s="190" t="s">
        <v>76</v>
      </c>
      <c r="C65" s="493"/>
      <c r="D65" s="494"/>
      <c r="E65" s="230">
        <f t="shared" si="0"/>
        <v>0</v>
      </c>
      <c r="F65" s="182" t="e">
        <f t="shared" si="1"/>
        <v>#DIV/0!</v>
      </c>
      <c r="G65" s="226"/>
      <c r="H65" s="70"/>
      <c r="I65" s="30" t="s">
        <v>55</v>
      </c>
      <c r="J65" s="483">
        <v>10264066.49</v>
      </c>
      <c r="K65" s="484">
        <v>9800407.3599999994</v>
      </c>
      <c r="L65" s="165">
        <f t="shared" si="2"/>
        <v>-463659.13000000082</v>
      </c>
      <c r="M65" s="166">
        <f t="shared" si="3"/>
        <v>-4.5173044275554068E-2</v>
      </c>
    </row>
    <row r="66" spans="1:13">
      <c r="A66" s="69"/>
      <c r="B66" s="190" t="s">
        <v>77</v>
      </c>
      <c r="C66" s="493"/>
      <c r="D66" s="494"/>
      <c r="E66" s="230">
        <f t="shared" si="0"/>
        <v>0</v>
      </c>
      <c r="F66" s="182" t="e">
        <f t="shared" si="1"/>
        <v>#DIV/0!</v>
      </c>
      <c r="G66" s="226"/>
      <c r="H66" s="70"/>
      <c r="I66" s="30" t="s">
        <v>56</v>
      </c>
      <c r="J66" s="483">
        <v>3000049.57</v>
      </c>
      <c r="K66" s="484">
        <v>2563185.17</v>
      </c>
      <c r="L66" s="165">
        <f t="shared" si="2"/>
        <v>-436864.39999999991</v>
      </c>
      <c r="M66" s="166">
        <f t="shared" si="3"/>
        <v>-0.14561906055438942</v>
      </c>
    </row>
    <row r="67" spans="1:13">
      <c r="A67" s="69" t="s">
        <v>24</v>
      </c>
      <c r="B67" s="33" t="s">
        <v>78</v>
      </c>
      <c r="C67" s="493"/>
      <c r="D67" s="494"/>
      <c r="E67" s="230">
        <f t="shared" si="0"/>
        <v>0</v>
      </c>
      <c r="F67" s="182" t="e">
        <f t="shared" si="1"/>
        <v>#DIV/0!</v>
      </c>
      <c r="G67" s="226"/>
      <c r="H67" s="70"/>
      <c r="I67" s="30"/>
      <c r="J67" s="483"/>
      <c r="K67" s="484"/>
      <c r="L67" s="165"/>
      <c r="M67" s="166"/>
    </row>
    <row r="68" spans="1:13">
      <c r="A68" s="21">
        <v>3</v>
      </c>
      <c r="B68" s="186" t="s">
        <v>105</v>
      </c>
      <c r="C68" s="22">
        <f>C69+C72+C73+C74</f>
        <v>6056341.0200000005</v>
      </c>
      <c r="D68" s="85">
        <f>D69+D72+D73+D74</f>
        <v>2378142.91</v>
      </c>
      <c r="E68" s="230">
        <f t="shared" si="0"/>
        <v>-3678198.1100000003</v>
      </c>
      <c r="F68" s="182">
        <f t="shared" si="1"/>
        <v>-0.60733008558358892</v>
      </c>
      <c r="G68" s="226"/>
      <c r="H68" s="70"/>
      <c r="I68" s="30"/>
      <c r="J68" s="13"/>
      <c r="K68" s="83"/>
      <c r="L68" s="165"/>
      <c r="M68" s="166"/>
    </row>
    <row r="69" spans="1:13">
      <c r="A69" s="12" t="s">
        <v>21</v>
      </c>
      <c r="B69" s="30" t="s">
        <v>94</v>
      </c>
      <c r="C69" s="13">
        <f>C70+C71</f>
        <v>5681640.5300000003</v>
      </c>
      <c r="D69" s="83">
        <f>D70+D71</f>
        <v>1920647.79</v>
      </c>
      <c r="E69" s="230">
        <f t="shared" si="0"/>
        <v>-3760992.74</v>
      </c>
      <c r="F69" s="182">
        <f t="shared" si="1"/>
        <v>-0.66195541941475133</v>
      </c>
      <c r="G69" s="226"/>
      <c r="H69" s="70"/>
      <c r="I69" s="30"/>
      <c r="J69" s="13"/>
      <c r="K69" s="83"/>
      <c r="L69" s="165"/>
      <c r="M69" s="166"/>
    </row>
    <row r="70" spans="1:13">
      <c r="A70" s="12"/>
      <c r="B70" s="188" t="s">
        <v>76</v>
      </c>
      <c r="C70" s="483">
        <v>5681640.5300000003</v>
      </c>
      <c r="D70" s="484">
        <v>1920647.79</v>
      </c>
      <c r="E70" s="230">
        <f t="shared" si="0"/>
        <v>-3760992.74</v>
      </c>
      <c r="F70" s="182">
        <f t="shared" si="1"/>
        <v>-0.66195541941475133</v>
      </c>
      <c r="G70" s="226"/>
      <c r="H70" s="70"/>
      <c r="I70" s="30"/>
      <c r="J70" s="13"/>
      <c r="K70" s="83"/>
      <c r="L70" s="165"/>
      <c r="M70" s="166"/>
    </row>
    <row r="71" spans="1:13">
      <c r="A71" s="12"/>
      <c r="B71" s="188" t="s">
        <v>77</v>
      </c>
      <c r="C71" s="483"/>
      <c r="D71" s="484"/>
      <c r="E71" s="230">
        <f t="shared" si="0"/>
        <v>0</v>
      </c>
      <c r="F71" s="182" t="e">
        <f t="shared" si="1"/>
        <v>#DIV/0!</v>
      </c>
      <c r="G71" s="226"/>
      <c r="H71" s="70"/>
      <c r="I71" s="30"/>
      <c r="J71" s="13"/>
      <c r="K71" s="83"/>
      <c r="L71" s="165"/>
      <c r="M71" s="166"/>
    </row>
    <row r="72" spans="1:13" ht="30">
      <c r="A72" s="12" t="s">
        <v>24</v>
      </c>
      <c r="B72" s="30" t="s">
        <v>106</v>
      </c>
      <c r="C72" s="483">
        <v>60389.55</v>
      </c>
      <c r="D72" s="484"/>
      <c r="E72" s="230">
        <f t="shared" si="0"/>
        <v>-60389.55</v>
      </c>
      <c r="F72" s="182">
        <f t="shared" si="1"/>
        <v>-1</v>
      </c>
      <c r="G72" s="226"/>
      <c r="H72" s="70"/>
      <c r="I72" s="30"/>
      <c r="J72" s="13"/>
      <c r="K72" s="83"/>
      <c r="L72" s="165"/>
      <c r="M72" s="166"/>
    </row>
    <row r="73" spans="1:13">
      <c r="A73" s="12" t="s">
        <v>27</v>
      </c>
      <c r="B73" s="30" t="s">
        <v>78</v>
      </c>
      <c r="C73" s="483">
        <v>314310.94</v>
      </c>
      <c r="D73" s="484">
        <v>457495.12</v>
      </c>
      <c r="E73" s="230">
        <f t="shared" ref="E73:E95" si="4">D73-C73</f>
        <v>143184.18</v>
      </c>
      <c r="F73" s="182">
        <f t="shared" ref="F73:F95" si="5">E73/C73</f>
        <v>0.45554946321626599</v>
      </c>
      <c r="G73" s="226"/>
      <c r="H73" s="70"/>
      <c r="I73" s="30"/>
      <c r="J73" s="13"/>
      <c r="K73" s="83"/>
      <c r="L73" s="165"/>
      <c r="M73" s="166"/>
    </row>
    <row r="74" spans="1:13" ht="15.75" thickBot="1">
      <c r="A74" s="223" t="s">
        <v>31</v>
      </c>
      <c r="B74" s="196" t="s">
        <v>107</v>
      </c>
      <c r="C74" s="485"/>
      <c r="D74" s="486"/>
      <c r="E74" s="231">
        <f t="shared" si="4"/>
        <v>0</v>
      </c>
      <c r="F74" s="183" t="e">
        <f t="shared" si="5"/>
        <v>#DIV/0!</v>
      </c>
      <c r="G74" s="226"/>
      <c r="H74" s="70"/>
      <c r="I74" s="30"/>
      <c r="J74" s="13"/>
      <c r="K74" s="83"/>
      <c r="L74" s="165"/>
      <c r="M74" s="166"/>
    </row>
    <row r="75" spans="1:13">
      <c r="A75" s="8" t="s">
        <v>16</v>
      </c>
      <c r="B75" s="28" t="s">
        <v>108</v>
      </c>
      <c r="C75" s="9">
        <f>C76+C91</f>
        <v>41159829.119999997</v>
      </c>
      <c r="D75" s="82">
        <f>D76+D91</f>
        <v>48957908.689999998</v>
      </c>
      <c r="E75" s="9">
        <f t="shared" si="4"/>
        <v>7798079.5700000003</v>
      </c>
      <c r="F75" s="157">
        <f t="shared" si="5"/>
        <v>0.18945850205706591</v>
      </c>
      <c r="G75" s="226"/>
      <c r="H75" s="70"/>
      <c r="I75" s="30"/>
      <c r="J75" s="13"/>
      <c r="K75" s="83"/>
      <c r="L75" s="165"/>
      <c r="M75" s="166"/>
    </row>
    <row r="76" spans="1:13">
      <c r="A76" s="21">
        <v>1</v>
      </c>
      <c r="B76" s="186" t="s">
        <v>109</v>
      </c>
      <c r="C76" s="22">
        <f>C77+C82+C87</f>
        <v>41159829.119999997</v>
      </c>
      <c r="D76" s="85">
        <f>D77+D82+D87</f>
        <v>48957908.689999998</v>
      </c>
      <c r="E76" s="229">
        <f t="shared" si="4"/>
        <v>7798079.5700000003</v>
      </c>
      <c r="F76" s="181">
        <f t="shared" si="5"/>
        <v>0.18945850205706591</v>
      </c>
      <c r="G76" s="226"/>
      <c r="H76" s="70"/>
      <c r="I76" s="30"/>
      <c r="J76" s="13"/>
      <c r="K76" s="83"/>
      <c r="L76" s="165"/>
      <c r="M76" s="166"/>
    </row>
    <row r="77" spans="1:13">
      <c r="A77" s="12" t="s">
        <v>21</v>
      </c>
      <c r="B77" s="188" t="s">
        <v>59</v>
      </c>
      <c r="C77" s="13">
        <f>SUM(C78:C81)</f>
        <v>0</v>
      </c>
      <c r="D77" s="83">
        <f>SUM(D78:D81)</f>
        <v>0</v>
      </c>
      <c r="E77" s="230">
        <f t="shared" si="4"/>
        <v>0</v>
      </c>
      <c r="F77" s="182" t="e">
        <f t="shared" si="5"/>
        <v>#DIV/0!</v>
      </c>
      <c r="G77" s="226"/>
      <c r="H77" s="70"/>
      <c r="I77" s="30"/>
      <c r="J77" s="13"/>
      <c r="K77" s="83"/>
      <c r="L77" s="165"/>
      <c r="M77" s="166"/>
    </row>
    <row r="78" spans="1:13">
      <c r="A78" s="12"/>
      <c r="B78" s="188" t="s">
        <v>61</v>
      </c>
      <c r="C78" s="483"/>
      <c r="D78" s="484"/>
      <c r="E78" s="230">
        <f t="shared" si="4"/>
        <v>0</v>
      </c>
      <c r="F78" s="182" t="e">
        <f t="shared" si="5"/>
        <v>#DIV/0!</v>
      </c>
      <c r="G78" s="226"/>
      <c r="H78" s="70"/>
      <c r="I78" s="30"/>
      <c r="J78" s="13"/>
      <c r="K78" s="83"/>
      <c r="L78" s="165"/>
      <c r="M78" s="166"/>
    </row>
    <row r="79" spans="1:13">
      <c r="A79" s="12"/>
      <c r="B79" s="188" t="s">
        <v>63</v>
      </c>
      <c r="C79" s="483"/>
      <c r="D79" s="484"/>
      <c r="E79" s="230">
        <f t="shared" si="4"/>
        <v>0</v>
      </c>
      <c r="F79" s="182" t="e">
        <f t="shared" si="5"/>
        <v>#DIV/0!</v>
      </c>
      <c r="G79" s="226"/>
      <c r="H79" s="70"/>
      <c r="I79" s="30"/>
      <c r="J79" s="13"/>
      <c r="K79" s="83"/>
      <c r="L79" s="165"/>
      <c r="M79" s="166"/>
    </row>
    <row r="80" spans="1:13">
      <c r="A80" s="12"/>
      <c r="B80" s="188" t="s">
        <v>64</v>
      </c>
      <c r="C80" s="483"/>
      <c r="D80" s="484"/>
      <c r="E80" s="230">
        <f t="shared" si="4"/>
        <v>0</v>
      </c>
      <c r="F80" s="182" t="e">
        <f t="shared" si="5"/>
        <v>#DIV/0!</v>
      </c>
      <c r="G80" s="226"/>
      <c r="H80" s="70"/>
      <c r="I80" s="30"/>
      <c r="J80" s="13"/>
      <c r="K80" s="83"/>
      <c r="L80" s="165"/>
      <c r="M80" s="166"/>
    </row>
    <row r="81" spans="1:13">
      <c r="A81" s="12"/>
      <c r="B81" s="30" t="s">
        <v>110</v>
      </c>
      <c r="C81" s="483"/>
      <c r="D81" s="484"/>
      <c r="E81" s="230">
        <f t="shared" si="4"/>
        <v>0</v>
      </c>
      <c r="F81" s="182" t="e">
        <f t="shared" si="5"/>
        <v>#DIV/0!</v>
      </c>
      <c r="G81" s="226"/>
      <c r="H81" s="70"/>
      <c r="I81" s="30"/>
      <c r="J81" s="13"/>
      <c r="K81" s="83"/>
      <c r="L81" s="165"/>
      <c r="M81" s="166"/>
    </row>
    <row r="82" spans="1:13">
      <c r="A82" s="12" t="s">
        <v>24</v>
      </c>
      <c r="B82" s="188" t="s">
        <v>74</v>
      </c>
      <c r="C82" s="13">
        <f>SUM(C83:C86)</f>
        <v>0</v>
      </c>
      <c r="D82" s="83">
        <f>SUM(D83:D86)</f>
        <v>0</v>
      </c>
      <c r="E82" s="230">
        <f t="shared" si="4"/>
        <v>0</v>
      </c>
      <c r="F82" s="182" t="e">
        <f t="shared" si="5"/>
        <v>#DIV/0!</v>
      </c>
      <c r="G82" s="226"/>
      <c r="H82" s="70"/>
      <c r="I82" s="30"/>
      <c r="J82" s="13"/>
      <c r="K82" s="83"/>
      <c r="L82" s="165"/>
      <c r="M82" s="166"/>
    </row>
    <row r="83" spans="1:13">
      <c r="A83" s="12"/>
      <c r="B83" s="188" t="s">
        <v>61</v>
      </c>
      <c r="C83" s="483"/>
      <c r="D83" s="484"/>
      <c r="E83" s="230">
        <f t="shared" si="4"/>
        <v>0</v>
      </c>
      <c r="F83" s="182" t="e">
        <f t="shared" si="5"/>
        <v>#DIV/0!</v>
      </c>
      <c r="G83" s="226"/>
      <c r="H83" s="70"/>
      <c r="I83" s="30"/>
      <c r="J83" s="13"/>
      <c r="K83" s="83"/>
      <c r="L83" s="165"/>
      <c r="M83" s="166"/>
    </row>
    <row r="84" spans="1:13">
      <c r="A84" s="12"/>
      <c r="B84" s="188" t="s">
        <v>63</v>
      </c>
      <c r="C84" s="483"/>
      <c r="D84" s="484"/>
      <c r="E84" s="230">
        <f t="shared" si="4"/>
        <v>0</v>
      </c>
      <c r="F84" s="182" t="e">
        <f t="shared" si="5"/>
        <v>#DIV/0!</v>
      </c>
      <c r="G84" s="226"/>
      <c r="H84" s="70"/>
      <c r="I84" s="30"/>
      <c r="J84" s="13"/>
      <c r="K84" s="83"/>
      <c r="L84" s="165"/>
      <c r="M84" s="166"/>
    </row>
    <row r="85" spans="1:13">
      <c r="A85" s="12"/>
      <c r="B85" s="188" t="s">
        <v>64</v>
      </c>
      <c r="C85" s="483"/>
      <c r="D85" s="484"/>
      <c r="E85" s="230">
        <f t="shared" si="4"/>
        <v>0</v>
      </c>
      <c r="F85" s="182" t="e">
        <f t="shared" si="5"/>
        <v>#DIV/0!</v>
      </c>
      <c r="G85" s="226"/>
      <c r="H85" s="70"/>
      <c r="I85" s="30"/>
      <c r="J85" s="13"/>
      <c r="K85" s="83"/>
      <c r="L85" s="165"/>
      <c r="M85" s="166"/>
    </row>
    <row r="86" spans="1:13">
      <c r="A86" s="12"/>
      <c r="B86" s="30" t="s">
        <v>110</v>
      </c>
      <c r="C86" s="483"/>
      <c r="D86" s="484"/>
      <c r="E86" s="230">
        <f t="shared" si="4"/>
        <v>0</v>
      </c>
      <c r="F86" s="182" t="e">
        <f t="shared" si="5"/>
        <v>#DIV/0!</v>
      </c>
      <c r="G86" s="226"/>
      <c r="H86" s="70"/>
      <c r="I86" s="30"/>
      <c r="J86" s="13"/>
      <c r="K86" s="83"/>
      <c r="L86" s="165"/>
      <c r="M86" s="166"/>
    </row>
    <row r="87" spans="1:13">
      <c r="A87" s="12" t="s">
        <v>27</v>
      </c>
      <c r="B87" s="30" t="s">
        <v>111</v>
      </c>
      <c r="C87" s="13">
        <f>SUM(C88:C90)</f>
        <v>41159829.119999997</v>
      </c>
      <c r="D87" s="83">
        <f>SUM(D88:D90)</f>
        <v>48957908.689999998</v>
      </c>
      <c r="E87" s="230">
        <f t="shared" si="4"/>
        <v>7798079.5700000003</v>
      </c>
      <c r="F87" s="182">
        <f t="shared" si="5"/>
        <v>0.18945850205706591</v>
      </c>
      <c r="G87" s="226"/>
      <c r="H87" s="70"/>
      <c r="I87" s="30"/>
      <c r="J87" s="13"/>
      <c r="K87" s="83"/>
      <c r="L87" s="165"/>
      <c r="M87" s="166"/>
    </row>
    <row r="88" spans="1:13">
      <c r="A88" s="12"/>
      <c r="B88" s="30" t="s">
        <v>112</v>
      </c>
      <c r="C88" s="483">
        <v>41155747.299999997</v>
      </c>
      <c r="D88" s="484">
        <v>24823282.969999999</v>
      </c>
      <c r="E88" s="230">
        <f t="shared" si="4"/>
        <v>-16332464.329999998</v>
      </c>
      <c r="F88" s="182">
        <f t="shared" si="5"/>
        <v>-0.39684528653911721</v>
      </c>
      <c r="G88" s="226"/>
      <c r="H88" s="70"/>
      <c r="I88" s="30"/>
      <c r="J88" s="13"/>
      <c r="K88" s="83"/>
      <c r="L88" s="165"/>
      <c r="M88" s="166"/>
    </row>
    <row r="89" spans="1:13">
      <c r="A89" s="12"/>
      <c r="B89" s="188" t="s">
        <v>113</v>
      </c>
      <c r="C89" s="483">
        <v>4081.82</v>
      </c>
      <c r="D89" s="484">
        <v>24134625.719999999</v>
      </c>
      <c r="E89" s="230">
        <f t="shared" si="4"/>
        <v>24130543.899999999</v>
      </c>
      <c r="F89" s="182">
        <f t="shared" si="5"/>
        <v>5911.7119079234253</v>
      </c>
      <c r="G89" s="226"/>
      <c r="H89" s="70"/>
      <c r="I89" s="30"/>
      <c r="J89" s="13"/>
      <c r="K89" s="83"/>
      <c r="L89" s="165"/>
      <c r="M89" s="166"/>
    </row>
    <row r="90" spans="1:13">
      <c r="A90" s="12"/>
      <c r="B90" s="188" t="s">
        <v>114</v>
      </c>
      <c r="C90" s="483"/>
      <c r="D90" s="484"/>
      <c r="E90" s="230">
        <f t="shared" si="4"/>
        <v>0</v>
      </c>
      <c r="F90" s="182" t="e">
        <f t="shared" si="5"/>
        <v>#DIV/0!</v>
      </c>
      <c r="G90" s="226"/>
      <c r="H90" s="70"/>
      <c r="I90" s="30"/>
      <c r="J90" s="13"/>
      <c r="K90" s="83"/>
      <c r="L90" s="165"/>
      <c r="M90" s="166"/>
    </row>
    <row r="91" spans="1:13" ht="15.75" thickBot="1">
      <c r="A91" s="71">
        <v>2</v>
      </c>
      <c r="B91" s="187" t="s">
        <v>115</v>
      </c>
      <c r="C91" s="489"/>
      <c r="D91" s="490"/>
      <c r="E91" s="231">
        <f t="shared" si="4"/>
        <v>0</v>
      </c>
      <c r="F91" s="183" t="e">
        <f t="shared" si="5"/>
        <v>#DIV/0!</v>
      </c>
      <c r="G91" s="227"/>
      <c r="H91" s="30"/>
      <c r="I91" s="30"/>
      <c r="J91" s="13"/>
      <c r="K91" s="83"/>
      <c r="L91" s="165"/>
      <c r="M91" s="166"/>
    </row>
    <row r="92" spans="1:13" ht="15.75" thickBot="1">
      <c r="A92" s="8" t="s">
        <v>20</v>
      </c>
      <c r="B92" s="28" t="s">
        <v>116</v>
      </c>
      <c r="C92" s="499">
        <v>124683.28</v>
      </c>
      <c r="D92" s="500">
        <v>131622.92000000001</v>
      </c>
      <c r="E92" s="123">
        <f t="shared" si="4"/>
        <v>6939.640000000014</v>
      </c>
      <c r="F92" s="124">
        <f t="shared" si="5"/>
        <v>5.5658144379904136E-2</v>
      </c>
      <c r="G92" s="227"/>
      <c r="H92" s="30"/>
      <c r="I92" s="30"/>
      <c r="J92" s="13"/>
      <c r="K92" s="83"/>
      <c r="L92" s="165"/>
      <c r="M92" s="166"/>
    </row>
    <row r="93" spans="1:13" ht="15.75" thickBot="1">
      <c r="A93" s="8" t="s">
        <v>247</v>
      </c>
      <c r="B93" s="266" t="s">
        <v>248</v>
      </c>
      <c r="C93" s="499"/>
      <c r="D93" s="500"/>
      <c r="E93" s="123">
        <f t="shared" si="4"/>
        <v>0</v>
      </c>
      <c r="F93" s="124" t="e">
        <f t="shared" si="5"/>
        <v>#DIV/0!</v>
      </c>
      <c r="G93" s="227"/>
      <c r="H93" s="30"/>
      <c r="I93" s="30"/>
      <c r="J93" s="13"/>
      <c r="K93" s="83"/>
      <c r="L93" s="165"/>
      <c r="M93" s="166"/>
    </row>
    <row r="94" spans="1:13" ht="15.75" thickBot="1">
      <c r="A94" s="8" t="s">
        <v>249</v>
      </c>
      <c r="B94" s="266" t="s">
        <v>250</v>
      </c>
      <c r="C94" s="499"/>
      <c r="D94" s="500"/>
      <c r="E94" s="123">
        <f t="shared" si="4"/>
        <v>0</v>
      </c>
      <c r="F94" s="124" t="e">
        <f t="shared" si="5"/>
        <v>#DIV/0!</v>
      </c>
      <c r="G94" s="227"/>
      <c r="H94" s="30"/>
      <c r="I94" s="30"/>
      <c r="J94" s="13"/>
      <c r="K94" s="83"/>
      <c r="L94" s="165"/>
      <c r="M94" s="166"/>
    </row>
    <row r="95" spans="1:13" ht="30.75" thickBot="1">
      <c r="A95" s="152"/>
      <c r="B95" s="78" t="s">
        <v>304</v>
      </c>
      <c r="C95" s="79">
        <f>C8+C50+C93+C94</f>
        <v>72912938.170000002</v>
      </c>
      <c r="D95" s="92">
        <f>D8+D50+D93+D94</f>
        <v>80810092.530000001</v>
      </c>
      <c r="E95" s="233">
        <f t="shared" si="4"/>
        <v>7897154.3599999994</v>
      </c>
      <c r="F95" s="197">
        <f t="shared" si="5"/>
        <v>0.10830936947825921</v>
      </c>
      <c r="G95" s="227"/>
      <c r="H95" s="152"/>
      <c r="I95" s="78" t="s">
        <v>204</v>
      </c>
      <c r="J95" s="79">
        <f>J8+J20</f>
        <v>72912938.170000002</v>
      </c>
      <c r="K95" s="92">
        <f>K8+K20</f>
        <v>80810092.530000001</v>
      </c>
      <c r="L95" s="121">
        <f t="shared" ref="L95" si="6">K95-J95</f>
        <v>7897154.3599999994</v>
      </c>
      <c r="M95" s="122">
        <f t="shared" ref="M95" si="7">L95/J95</f>
        <v>0.10830936947825921</v>
      </c>
    </row>
    <row r="96" spans="1:13">
      <c r="A96" s="224"/>
      <c r="B96" s="1"/>
      <c r="C96" s="1"/>
      <c r="D96" s="1"/>
      <c r="E96" s="1"/>
      <c r="F96" s="1"/>
      <c r="G96" s="1"/>
      <c r="H96" s="152"/>
      <c r="I96" s="1"/>
      <c r="J96" s="41"/>
      <c r="K96" s="41"/>
    </row>
    <row r="97" spans="1:13" ht="52.5" customHeight="1">
      <c r="A97" s="152"/>
      <c r="B97" s="2"/>
      <c r="C97" s="2"/>
      <c r="D97" s="2"/>
      <c r="E97" s="2"/>
      <c r="F97" s="2"/>
      <c r="G97" s="2"/>
      <c r="H97" s="152"/>
      <c r="I97" s="2"/>
      <c r="J97" s="2"/>
      <c r="K97" s="2"/>
    </row>
    <row r="98" spans="1:13" ht="32.25" customHeight="1">
      <c r="A98" s="74"/>
      <c r="B98" s="74" t="s">
        <v>118</v>
      </c>
      <c r="C98" s="74"/>
      <c r="D98" s="686" t="s">
        <v>118</v>
      </c>
      <c r="E98" s="686"/>
      <c r="F98" s="686"/>
      <c r="G98" s="42"/>
      <c r="I98" s="74" t="s">
        <v>118</v>
      </c>
      <c r="J98" s="74"/>
      <c r="K98" s="686" t="s">
        <v>118</v>
      </c>
      <c r="L98" s="686"/>
      <c r="M98" s="686"/>
    </row>
    <row r="99" spans="1:13" ht="45" customHeight="1">
      <c r="B99" s="73" t="s">
        <v>207</v>
      </c>
      <c r="C99" s="73"/>
      <c r="D99" s="685" t="s">
        <v>119</v>
      </c>
      <c r="E99" s="685"/>
      <c r="F99" s="685"/>
      <c r="G99" s="65"/>
      <c r="I99" s="73" t="s">
        <v>207</v>
      </c>
      <c r="J99" s="73"/>
      <c r="K99" s="685" t="s">
        <v>119</v>
      </c>
      <c r="L99" s="685"/>
      <c r="M99" s="685"/>
    </row>
  </sheetData>
  <sheetProtection algorithmName="SHA-512" hashValue="Y4iGO5hOKn8nL+Y9TCTl8+EZOxLjgdZS+2KvgrUzl3DEiky8CF2iEK99HV7IwKEgoryBuL+fSS1PqAihE1xkxg==" saltValue="7XuKHfQyfK3+b9PcKqBO8g==" spinCount="100000" sheet="1" formatCells="0" formatColumns="0" formatRows="0"/>
  <mergeCells count="16">
    <mergeCell ref="A6:A7"/>
    <mergeCell ref="B6:B7"/>
    <mergeCell ref="C6:D6"/>
    <mergeCell ref="E6:E7"/>
    <mergeCell ref="F6:F7"/>
    <mergeCell ref="D99:F99"/>
    <mergeCell ref="D98:F98"/>
    <mergeCell ref="K98:M98"/>
    <mergeCell ref="K99:M99"/>
    <mergeCell ref="J4:K4"/>
    <mergeCell ref="H6:H7"/>
    <mergeCell ref="I6:I7"/>
    <mergeCell ref="J6:K6"/>
    <mergeCell ref="C4:D4"/>
    <mergeCell ref="L6:L7"/>
    <mergeCell ref="M6:M7"/>
  </mergeCells>
  <pageMargins left="0.78740157480314965" right="0.23622047244094491" top="0.74803149606299213" bottom="0.74803149606299213" header="0.31496062992125984" footer="0.31496062992125984"/>
  <pageSetup paperSize="9" scale="75" orientation="portrait" r:id="rId1"/>
  <rowBreaks count="1" manualBreakCount="1">
    <brk id="49" max="12" man="1"/>
  </rowBreaks>
  <colBreaks count="1" manualBreakCount="1">
    <brk id="7" max="9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47B9E-ABA5-4B19-8C36-2C4341A9305D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102"/>
  <sheetViews>
    <sheetView view="pageBreakPreview" zoomScaleNormal="100" zoomScaleSheetLayoutView="100" workbookViewId="0">
      <pane ySplit="7" topLeftCell="A53" activePane="bottomLeft" state="frozen"/>
      <selection activeCell="C32" sqref="C32"/>
      <selection pane="bottomLeft" activeCell="O54" sqref="O54"/>
    </sheetView>
  </sheetViews>
  <sheetFormatPr defaultColWidth="9.140625" defaultRowHeight="15"/>
  <cols>
    <col min="1" max="1" width="4.140625" style="43" customWidth="1"/>
    <col min="2" max="2" width="47.42578125" style="42" customWidth="1"/>
    <col min="3" max="3" width="16.5703125" style="42" bestFit="1" customWidth="1"/>
    <col min="4" max="4" width="16.42578125" style="42" customWidth="1"/>
    <col min="5" max="5" width="14.7109375" style="42" customWidth="1"/>
    <col min="6" max="6" width="16.42578125" style="42" customWidth="1"/>
    <col min="7" max="7" width="1.28515625" style="42" customWidth="1"/>
    <col min="8" max="8" width="5" style="43" customWidth="1"/>
    <col min="9" max="9" width="49.5703125" style="42" customWidth="1"/>
    <col min="10" max="11" width="16.5703125" style="42" bestFit="1" customWidth="1"/>
    <col min="12" max="12" width="15.28515625" style="42" customWidth="1"/>
    <col min="13" max="13" width="10.42578125" style="42" customWidth="1"/>
    <col min="14" max="16384" width="9.140625" style="42"/>
  </cols>
  <sheetData>
    <row r="1" spans="1:13" s="534" customFormat="1">
      <c r="A1" s="532"/>
      <c r="B1" s="533"/>
      <c r="C1" s="533"/>
      <c r="D1" s="533"/>
      <c r="E1" s="534" t="s">
        <v>337</v>
      </c>
      <c r="F1" s="533"/>
      <c r="G1" s="533"/>
      <c r="H1" s="532"/>
      <c r="I1" s="533"/>
      <c r="J1" s="533"/>
      <c r="K1" s="533"/>
      <c r="L1" s="534" t="s">
        <v>338</v>
      </c>
    </row>
    <row r="2" spans="1:13" s="534" customFormat="1">
      <c r="A2" s="532"/>
      <c r="B2" s="533" t="s">
        <v>257</v>
      </c>
      <c r="C2" s="533"/>
      <c r="D2" s="533"/>
      <c r="E2" s="533"/>
      <c r="F2" s="533"/>
      <c r="G2" s="533"/>
      <c r="H2" s="532"/>
      <c r="I2" s="533" t="s">
        <v>258</v>
      </c>
      <c r="J2" s="533"/>
      <c r="K2" s="533"/>
    </row>
    <row r="3" spans="1:13" s="534" customFormat="1">
      <c r="A3" s="532"/>
      <c r="B3" s="557" t="s">
        <v>1</v>
      </c>
      <c r="C3" s="533"/>
      <c r="D3" s="533"/>
      <c r="E3" s="533"/>
      <c r="F3" s="533"/>
      <c r="G3" s="533"/>
      <c r="H3" s="532"/>
      <c r="I3" s="557" t="s">
        <v>1</v>
      </c>
      <c r="J3" s="533"/>
      <c r="K3" s="533"/>
    </row>
    <row r="4" spans="1:13" ht="15.75" customHeight="1" thickBot="1">
      <c r="A4" s="454"/>
      <c r="B4" s="451" t="s">
        <v>302</v>
      </c>
      <c r="C4" s="687" t="s">
        <v>205</v>
      </c>
      <c r="D4" s="687"/>
      <c r="E4" s="225"/>
      <c r="F4" s="225"/>
      <c r="G4" s="225"/>
      <c r="H4" s="225"/>
      <c r="I4" s="451" t="s">
        <v>302</v>
      </c>
      <c r="J4" s="687" t="s">
        <v>205</v>
      </c>
      <c r="K4" s="687"/>
    </row>
    <row r="5" spans="1:13" ht="15.75" thickBot="1">
      <c r="A5" s="152"/>
      <c r="B5" s="2"/>
      <c r="C5" s="2"/>
      <c r="D5" s="2"/>
      <c r="E5" s="2"/>
      <c r="F5" s="2"/>
      <c r="G5" s="2"/>
      <c r="H5" s="152"/>
      <c r="I5" s="152"/>
    </row>
    <row r="6" spans="1:13">
      <c r="A6" s="688"/>
      <c r="B6" s="691" t="s">
        <v>2</v>
      </c>
      <c r="C6" s="693" t="s">
        <v>3</v>
      </c>
      <c r="D6" s="698"/>
      <c r="E6" s="693" t="s">
        <v>208</v>
      </c>
      <c r="F6" s="695" t="s">
        <v>209</v>
      </c>
      <c r="G6" s="225"/>
      <c r="H6" s="688"/>
      <c r="I6" s="689" t="s">
        <v>4</v>
      </c>
      <c r="J6" s="691" t="s">
        <v>3</v>
      </c>
      <c r="K6" s="692"/>
      <c r="L6" s="693" t="s">
        <v>208</v>
      </c>
      <c r="M6" s="695" t="s">
        <v>209</v>
      </c>
    </row>
    <row r="7" spans="1:13" ht="15.75" thickBot="1">
      <c r="A7" s="688"/>
      <c r="B7" s="697"/>
      <c r="C7" s="453" t="str">
        <f ca="1">'BILANS 2023'!D7</f>
        <v>31.12.2023</v>
      </c>
      <c r="D7" s="592" t="str">
        <f ca="1">CONCATENATE("31.12.",RIGHT(CELL("nazwa_pliku",A1),4))</f>
        <v>31.12.2024</v>
      </c>
      <c r="E7" s="699"/>
      <c r="F7" s="700"/>
      <c r="G7" s="225"/>
      <c r="H7" s="688"/>
      <c r="I7" s="690"/>
      <c r="J7" s="453" t="str">
        <f ca="1">'BILANS 2023'!K7</f>
        <v>31.12.2023</v>
      </c>
      <c r="K7" s="592" t="str">
        <f ca="1">CONCATENATE("31.12.",RIGHT(CELL("nazwa_pliku",H1),4))</f>
        <v>31.12.2024</v>
      </c>
      <c r="L7" s="694"/>
      <c r="M7" s="696"/>
    </row>
    <row r="8" spans="1:13" ht="15.75" thickBot="1">
      <c r="A8" s="5" t="s">
        <v>5</v>
      </c>
      <c r="B8" s="179" t="s">
        <v>6</v>
      </c>
      <c r="C8" s="6">
        <f>'BILANS 2023'!D8</f>
        <v>35494771.659999996</v>
      </c>
      <c r="D8" s="268">
        <f>D9+D14+D23+D27+D47</f>
        <v>35682364.829999998</v>
      </c>
      <c r="E8" s="6">
        <f>D8-C8</f>
        <v>187593.17000000179</v>
      </c>
      <c r="F8" s="180">
        <f>E8/C8</f>
        <v>5.2850930214999956E-3</v>
      </c>
      <c r="G8" s="226"/>
      <c r="H8" s="93" t="s">
        <v>5</v>
      </c>
      <c r="I8" s="7" t="s">
        <v>7</v>
      </c>
      <c r="J8" s="77">
        <f>'BILANS 2023'!K8</f>
        <v>28305842.829999998</v>
      </c>
      <c r="K8" s="234">
        <f>K9+K10+K12+K14+K17+K18+K19</f>
        <v>34369842.829999998</v>
      </c>
      <c r="L8" s="159">
        <f>K8-J8</f>
        <v>6064000</v>
      </c>
      <c r="M8" s="160">
        <f>L8/J8</f>
        <v>0.21423138807133693</v>
      </c>
    </row>
    <row r="9" spans="1:13" ht="15.75" thickBot="1">
      <c r="A9" s="8" t="s">
        <v>8</v>
      </c>
      <c r="B9" s="28" t="s">
        <v>206</v>
      </c>
      <c r="C9" s="9">
        <f>'BILANS 2023'!D9</f>
        <v>150190.14000000001</v>
      </c>
      <c r="D9" s="82">
        <f>D10+D11+D12+D13</f>
        <v>153683.31</v>
      </c>
      <c r="E9" s="9">
        <f t="shared" ref="E9:E72" si="0">D9-C9</f>
        <v>3493.1699999999837</v>
      </c>
      <c r="F9" s="157">
        <f t="shared" ref="F9:F72" si="1">E9/C9</f>
        <v>2.3258317756411861E-2</v>
      </c>
      <c r="G9" s="226"/>
      <c r="H9" s="94" t="s">
        <v>8</v>
      </c>
      <c r="I9" s="10" t="s">
        <v>9</v>
      </c>
      <c r="J9" s="11">
        <f>'BILANS 2023'!K9</f>
        <v>35420985.210000001</v>
      </c>
      <c r="K9" s="502">
        <v>35420985.210000001</v>
      </c>
      <c r="L9" s="161">
        <f t="shared" ref="L9:L66" si="2">K9-J9</f>
        <v>0</v>
      </c>
      <c r="M9" s="162">
        <f t="shared" ref="M9:M66" si="3">L9/J9</f>
        <v>0</v>
      </c>
    </row>
    <row r="10" spans="1:13">
      <c r="A10" s="12">
        <v>1</v>
      </c>
      <c r="B10" s="30" t="s">
        <v>10</v>
      </c>
      <c r="C10" s="13">
        <f>'BILANS 2023'!D10</f>
        <v>0</v>
      </c>
      <c r="D10" s="484"/>
      <c r="E10" s="229">
        <f t="shared" si="0"/>
        <v>0</v>
      </c>
      <c r="F10" s="181" t="e">
        <f t="shared" si="1"/>
        <v>#DIV/0!</v>
      </c>
      <c r="G10" s="226"/>
      <c r="H10" s="94" t="s">
        <v>11</v>
      </c>
      <c r="I10" s="10" t="s">
        <v>171</v>
      </c>
      <c r="J10" s="11">
        <f>'BILANS 2023'!K10</f>
        <v>0</v>
      </c>
      <c r="K10" s="502"/>
      <c r="L10" s="163">
        <f t="shared" si="2"/>
        <v>0</v>
      </c>
      <c r="M10" s="164" t="e">
        <f t="shared" si="3"/>
        <v>#DIV/0!</v>
      </c>
    </row>
    <row r="11" spans="1:13" ht="30.75" thickBot="1">
      <c r="A11" s="12">
        <v>2</v>
      </c>
      <c r="B11" s="30" t="s">
        <v>12</v>
      </c>
      <c r="C11" s="13">
        <f>'BILANS 2023'!D11</f>
        <v>0</v>
      </c>
      <c r="D11" s="484"/>
      <c r="E11" s="230">
        <f t="shared" si="0"/>
        <v>0</v>
      </c>
      <c r="F11" s="182" t="e">
        <f t="shared" si="1"/>
        <v>#DIV/0!</v>
      </c>
      <c r="G11" s="226"/>
      <c r="H11" s="217"/>
      <c r="I11" s="207" t="s">
        <v>13</v>
      </c>
      <c r="J11" s="208">
        <f>'BILANS 2023'!K11</f>
        <v>0</v>
      </c>
      <c r="K11" s="503"/>
      <c r="L11" s="167">
        <f t="shared" si="2"/>
        <v>0</v>
      </c>
      <c r="M11" s="168" t="e">
        <f t="shared" si="3"/>
        <v>#DIV/0!</v>
      </c>
    </row>
    <row r="12" spans="1:13">
      <c r="A12" s="12">
        <v>3</v>
      </c>
      <c r="B12" s="30" t="s">
        <v>14</v>
      </c>
      <c r="C12" s="13">
        <f>'BILANS 2023'!D12</f>
        <v>150190.14000000001</v>
      </c>
      <c r="D12" s="484">
        <v>153683.31</v>
      </c>
      <c r="E12" s="230">
        <f t="shared" si="0"/>
        <v>3493.1699999999837</v>
      </c>
      <c r="F12" s="182">
        <f t="shared" si="1"/>
        <v>2.3258317756411861E-2</v>
      </c>
      <c r="G12" s="226"/>
      <c r="H12" s="95" t="s">
        <v>16</v>
      </c>
      <c r="I12" s="16" t="s">
        <v>172</v>
      </c>
      <c r="J12" s="17">
        <f>'BILANS 2023'!K12</f>
        <v>0</v>
      </c>
      <c r="K12" s="505"/>
      <c r="L12" s="163">
        <f t="shared" si="2"/>
        <v>0</v>
      </c>
      <c r="M12" s="164" t="e">
        <f t="shared" si="3"/>
        <v>#DIV/0!</v>
      </c>
    </row>
    <row r="13" spans="1:13" ht="15.75" thickBot="1">
      <c r="A13" s="14">
        <v>4</v>
      </c>
      <c r="B13" s="40" t="s">
        <v>15</v>
      </c>
      <c r="C13" s="15">
        <f>'BILANS 2023'!D13</f>
        <v>0</v>
      </c>
      <c r="D13" s="486"/>
      <c r="E13" s="231">
        <f t="shared" si="0"/>
        <v>0</v>
      </c>
      <c r="F13" s="183" t="e">
        <f t="shared" si="1"/>
        <v>#DIV/0!</v>
      </c>
      <c r="G13" s="226"/>
      <c r="H13" s="96"/>
      <c r="I13" s="19" t="s">
        <v>18</v>
      </c>
      <c r="J13" s="20">
        <f>'BILANS 2023'!K13</f>
        <v>0</v>
      </c>
      <c r="K13" s="507"/>
      <c r="L13" s="167">
        <f t="shared" si="2"/>
        <v>0</v>
      </c>
      <c r="M13" s="168" t="e">
        <f t="shared" si="3"/>
        <v>#DIV/0!</v>
      </c>
    </row>
    <row r="14" spans="1:13">
      <c r="A14" s="18" t="s">
        <v>11</v>
      </c>
      <c r="B14" s="184" t="s">
        <v>17</v>
      </c>
      <c r="C14" s="9">
        <f>'BILANS 2023'!D14</f>
        <v>35344581.519999996</v>
      </c>
      <c r="D14" s="82">
        <f>D15+D21+D22</f>
        <v>35528681.519999996</v>
      </c>
      <c r="E14" s="9">
        <f t="shared" si="0"/>
        <v>184100</v>
      </c>
      <c r="F14" s="157">
        <f t="shared" si="1"/>
        <v>5.2087191892716466E-3</v>
      </c>
      <c r="G14" s="226"/>
      <c r="H14" s="95" t="s">
        <v>20</v>
      </c>
      <c r="I14" s="16" t="s">
        <v>173</v>
      </c>
      <c r="J14" s="17">
        <f>'BILANS 2023'!K14</f>
        <v>0</v>
      </c>
      <c r="K14" s="508"/>
      <c r="L14" s="163">
        <f t="shared" si="2"/>
        <v>0</v>
      </c>
      <c r="M14" s="164" t="e">
        <f t="shared" si="3"/>
        <v>#DIV/0!</v>
      </c>
    </row>
    <row r="15" spans="1:13">
      <c r="A15" s="21">
        <v>1</v>
      </c>
      <c r="B15" s="185" t="s">
        <v>19</v>
      </c>
      <c r="C15" s="22">
        <f>'BILANS 2023'!D15</f>
        <v>35324381.519999996</v>
      </c>
      <c r="D15" s="85">
        <f>SUM(D16:D20)</f>
        <v>35528681.519999996</v>
      </c>
      <c r="E15" s="229">
        <f t="shared" si="0"/>
        <v>204300</v>
      </c>
      <c r="F15" s="181">
        <f t="shared" si="1"/>
        <v>5.7835407502981814E-3</v>
      </c>
      <c r="G15" s="226"/>
      <c r="H15" s="96"/>
      <c r="I15" s="19" t="s">
        <v>23</v>
      </c>
      <c r="J15" s="20">
        <f>'BILANS 2023'!K15</f>
        <v>0</v>
      </c>
      <c r="K15" s="507"/>
      <c r="L15" s="165">
        <f t="shared" si="2"/>
        <v>0</v>
      </c>
      <c r="M15" s="166" t="e">
        <f t="shared" si="3"/>
        <v>#DIV/0!</v>
      </c>
    </row>
    <row r="16" spans="1:13" ht="30.75" thickBot="1">
      <c r="A16" s="12" t="s">
        <v>21</v>
      </c>
      <c r="B16" s="30" t="s">
        <v>22</v>
      </c>
      <c r="C16" s="13">
        <f>'BILANS 2023'!D16</f>
        <v>7662681.5199999996</v>
      </c>
      <c r="D16" s="484">
        <v>7662681.5199999996</v>
      </c>
      <c r="E16" s="230">
        <f t="shared" si="0"/>
        <v>0</v>
      </c>
      <c r="F16" s="182">
        <f t="shared" si="1"/>
        <v>0</v>
      </c>
      <c r="G16" s="226"/>
      <c r="H16" s="96"/>
      <c r="I16" s="19" t="s">
        <v>26</v>
      </c>
      <c r="J16" s="20">
        <f>'BILANS 2023'!K16</f>
        <v>0</v>
      </c>
      <c r="K16" s="507"/>
      <c r="L16" s="167">
        <f t="shared" si="2"/>
        <v>0</v>
      </c>
      <c r="M16" s="168" t="e">
        <f t="shared" si="3"/>
        <v>#DIV/0!</v>
      </c>
    </row>
    <row r="17" spans="1:24" ht="30.75" thickBot="1">
      <c r="A17" s="12" t="s">
        <v>24</v>
      </c>
      <c r="B17" s="30" t="s">
        <v>25</v>
      </c>
      <c r="C17" s="13">
        <f>'BILANS 2023'!D17</f>
        <v>13041700</v>
      </c>
      <c r="D17" s="484">
        <v>12716000</v>
      </c>
      <c r="E17" s="230">
        <f t="shared" si="0"/>
        <v>-325700</v>
      </c>
      <c r="F17" s="182">
        <f t="shared" si="1"/>
        <v>-2.497373808629243E-2</v>
      </c>
      <c r="G17" s="226"/>
      <c r="H17" s="94" t="s">
        <v>29</v>
      </c>
      <c r="I17" s="10" t="s">
        <v>30</v>
      </c>
      <c r="J17" s="552">
        <f>'BILANS 2023'!K17</f>
        <v>-12779142.380000001</v>
      </c>
      <c r="K17" s="556">
        <v>-7115142.3799999999</v>
      </c>
      <c r="L17" s="161">
        <f t="shared" si="2"/>
        <v>5664000.0000000009</v>
      </c>
      <c r="M17" s="162">
        <f t="shared" si="3"/>
        <v>-0.44322223131846822</v>
      </c>
    </row>
    <row r="18" spans="1:24" ht="15.75" thickBot="1">
      <c r="A18" s="12" t="s">
        <v>27</v>
      </c>
      <c r="B18" s="30" t="s">
        <v>28</v>
      </c>
      <c r="C18" s="13">
        <f>'BILANS 2023'!D18</f>
        <v>600000</v>
      </c>
      <c r="D18" s="484">
        <v>650000</v>
      </c>
      <c r="E18" s="230">
        <f t="shared" si="0"/>
        <v>50000</v>
      </c>
      <c r="F18" s="182">
        <f t="shared" si="1"/>
        <v>8.3333333333333329E-2</v>
      </c>
      <c r="G18" s="226"/>
      <c r="H18" s="94" t="s">
        <v>33</v>
      </c>
      <c r="I18" s="10" t="s">
        <v>34</v>
      </c>
      <c r="J18" s="23">
        <f>'BILANS 2023'!K18</f>
        <v>5664000</v>
      </c>
      <c r="K18" s="512">
        <v>6064000</v>
      </c>
      <c r="L18" s="161">
        <f t="shared" si="2"/>
        <v>400000</v>
      </c>
      <c r="M18" s="162">
        <f t="shared" si="3"/>
        <v>7.0621468926553674E-2</v>
      </c>
    </row>
    <row r="19" spans="1:24" ht="30.75" thickBot="1">
      <c r="A19" s="12" t="s">
        <v>31</v>
      </c>
      <c r="B19" s="30" t="s">
        <v>32</v>
      </c>
      <c r="C19" s="13">
        <f>'BILANS 2023'!D19</f>
        <v>8820000</v>
      </c>
      <c r="D19" s="484">
        <v>9000000</v>
      </c>
      <c r="E19" s="230">
        <f t="shared" si="0"/>
        <v>180000</v>
      </c>
      <c r="F19" s="182">
        <f t="shared" si="1"/>
        <v>2.0408163265306121E-2</v>
      </c>
      <c r="G19" s="226"/>
      <c r="H19" s="218" t="s">
        <v>37</v>
      </c>
      <c r="I19" s="209" t="s">
        <v>38</v>
      </c>
      <c r="J19" s="210">
        <f>'BILANS 2023'!K19</f>
        <v>0</v>
      </c>
      <c r="K19" s="514"/>
      <c r="L19" s="212">
        <f t="shared" si="2"/>
        <v>0</v>
      </c>
      <c r="M19" s="213" t="e">
        <f t="shared" si="3"/>
        <v>#DIV/0!</v>
      </c>
    </row>
    <row r="20" spans="1:24" ht="15.75" thickBot="1">
      <c r="A20" s="12" t="s">
        <v>35</v>
      </c>
      <c r="B20" s="30" t="s">
        <v>36</v>
      </c>
      <c r="C20" s="13">
        <f>'BILANS 2023'!D20</f>
        <v>5200000</v>
      </c>
      <c r="D20" s="484">
        <v>5500000</v>
      </c>
      <c r="E20" s="230">
        <f t="shared" si="0"/>
        <v>300000</v>
      </c>
      <c r="F20" s="182">
        <f t="shared" si="1"/>
        <v>5.7692307692307696E-2</v>
      </c>
      <c r="G20" s="226"/>
      <c r="H20" s="93" t="s">
        <v>41</v>
      </c>
      <c r="I20" s="26" t="s">
        <v>42</v>
      </c>
      <c r="J20" s="27">
        <f>'BILANS 2023'!K20</f>
        <v>59898928.829999998</v>
      </c>
      <c r="K20" s="119">
        <f>K21+K29+K38+K62</f>
        <v>59118522</v>
      </c>
      <c r="L20" s="159">
        <f t="shared" si="2"/>
        <v>-780406.82999999821</v>
      </c>
      <c r="M20" s="160">
        <f t="shared" si="3"/>
        <v>-1.3028727645779475E-2</v>
      </c>
    </row>
    <row r="21" spans="1:24">
      <c r="A21" s="21">
        <v>2</v>
      </c>
      <c r="B21" s="186" t="s">
        <v>39</v>
      </c>
      <c r="C21" s="22">
        <f>'BILANS 2023'!D21</f>
        <v>20200</v>
      </c>
      <c r="D21" s="488"/>
      <c r="E21" s="230">
        <f t="shared" si="0"/>
        <v>-20200</v>
      </c>
      <c r="F21" s="182">
        <f t="shared" si="1"/>
        <v>-1</v>
      </c>
      <c r="G21" s="226"/>
      <c r="H21" s="97" t="s">
        <v>8</v>
      </c>
      <c r="I21" s="28" t="s">
        <v>44</v>
      </c>
      <c r="J21" s="9">
        <f>'BILANS 2023'!K21</f>
        <v>15950000</v>
      </c>
      <c r="K21" s="82">
        <f>K22+K23+K26</f>
        <v>16800000</v>
      </c>
      <c r="L21" s="171">
        <f t="shared" si="2"/>
        <v>850000</v>
      </c>
      <c r="M21" s="172">
        <f t="shared" si="3"/>
        <v>5.329153605015674E-2</v>
      </c>
    </row>
    <row r="22" spans="1:24" ht="15.75" thickBot="1">
      <c r="A22" s="24">
        <v>3</v>
      </c>
      <c r="B22" s="187" t="s">
        <v>40</v>
      </c>
      <c r="C22" s="25">
        <f>'BILANS 2023'!D22</f>
        <v>0</v>
      </c>
      <c r="D22" s="490"/>
      <c r="E22" s="231">
        <f t="shared" si="0"/>
        <v>0</v>
      </c>
      <c r="F22" s="183" t="e">
        <f t="shared" si="1"/>
        <v>#DIV/0!</v>
      </c>
      <c r="G22" s="226"/>
      <c r="H22" s="70">
        <v>1</v>
      </c>
      <c r="I22" s="30" t="s">
        <v>46</v>
      </c>
      <c r="J22" s="13">
        <f>'BILANS 2023'!K22</f>
        <v>0</v>
      </c>
      <c r="K22" s="484"/>
      <c r="L22" s="165">
        <f t="shared" si="2"/>
        <v>0</v>
      </c>
      <c r="M22" s="166" t="e">
        <f t="shared" si="3"/>
        <v>#DIV/0!</v>
      </c>
    </row>
    <row r="23" spans="1:24">
      <c r="A23" s="8" t="s">
        <v>16</v>
      </c>
      <c r="B23" s="28" t="s">
        <v>43</v>
      </c>
      <c r="C23" s="9">
        <f>'BILANS 2023'!D23</f>
        <v>0</v>
      </c>
      <c r="D23" s="82">
        <f>D24+D25+D26</f>
        <v>0</v>
      </c>
      <c r="E23" s="9">
        <f t="shared" si="0"/>
        <v>0</v>
      </c>
      <c r="F23" s="157" t="e">
        <f t="shared" si="1"/>
        <v>#DIV/0!</v>
      </c>
      <c r="G23" s="226"/>
      <c r="H23" s="70">
        <v>2</v>
      </c>
      <c r="I23" s="30" t="s">
        <v>48</v>
      </c>
      <c r="J23" s="13">
        <f>'BILANS 2023'!K23</f>
        <v>12650000</v>
      </c>
      <c r="K23" s="173">
        <f>K24+K25</f>
        <v>13800000</v>
      </c>
      <c r="L23" s="165">
        <f t="shared" si="2"/>
        <v>1150000</v>
      </c>
      <c r="M23" s="166">
        <f t="shared" si="3"/>
        <v>9.0909090909090912E-2</v>
      </c>
    </row>
    <row r="24" spans="1:24">
      <c r="A24" s="12">
        <v>1</v>
      </c>
      <c r="B24" s="188" t="s">
        <v>45</v>
      </c>
      <c r="C24" s="13">
        <f>'BILANS 2023'!D24</f>
        <v>0</v>
      </c>
      <c r="D24" s="484"/>
      <c r="E24" s="229">
        <f t="shared" si="0"/>
        <v>0</v>
      </c>
      <c r="F24" s="181" t="e">
        <f t="shared" si="1"/>
        <v>#DIV/0!</v>
      </c>
      <c r="G24" s="226"/>
      <c r="H24" s="70"/>
      <c r="I24" s="30" t="s">
        <v>49</v>
      </c>
      <c r="J24" s="13">
        <f>'BILANS 2023'!K24</f>
        <v>11000000</v>
      </c>
      <c r="K24" s="515">
        <v>12000000</v>
      </c>
      <c r="L24" s="165">
        <f t="shared" si="2"/>
        <v>1000000</v>
      </c>
      <c r="M24" s="166">
        <f t="shared" si="3"/>
        <v>9.0909090909090912E-2</v>
      </c>
    </row>
    <row r="25" spans="1:24" ht="30">
      <c r="A25" s="151">
        <v>2</v>
      </c>
      <c r="B25" s="150" t="s">
        <v>47</v>
      </c>
      <c r="C25" s="208">
        <f>'BILANS 2023'!D25</f>
        <v>0</v>
      </c>
      <c r="D25" s="492"/>
      <c r="E25" s="231">
        <f t="shared" si="0"/>
        <v>0</v>
      </c>
      <c r="F25" s="183" t="e">
        <f t="shared" si="1"/>
        <v>#DIV/0!</v>
      </c>
      <c r="G25" s="226"/>
      <c r="H25" s="70"/>
      <c r="I25" s="30" t="s">
        <v>51</v>
      </c>
      <c r="J25" s="13">
        <f>'BILANS 2023'!K25</f>
        <v>1650000</v>
      </c>
      <c r="K25" s="515">
        <v>1800000</v>
      </c>
      <c r="L25" s="165">
        <f t="shared" si="2"/>
        <v>150000</v>
      </c>
      <c r="M25" s="166">
        <f t="shared" si="3"/>
        <v>9.0909090909090912E-2</v>
      </c>
    </row>
    <row r="26" spans="1:24" ht="15.75" thickBot="1">
      <c r="A26" s="14">
        <v>3</v>
      </c>
      <c r="B26" s="189" t="s">
        <v>50</v>
      </c>
      <c r="C26" s="15">
        <f>'BILANS 2023'!D26</f>
        <v>0</v>
      </c>
      <c r="D26" s="486"/>
      <c r="E26" s="231">
        <f t="shared" si="0"/>
        <v>0</v>
      </c>
      <c r="F26" s="183" t="e">
        <f t="shared" si="1"/>
        <v>#DIV/0!</v>
      </c>
      <c r="G26" s="226"/>
      <c r="H26" s="70">
        <v>3</v>
      </c>
      <c r="I26" s="30" t="s">
        <v>53</v>
      </c>
      <c r="J26" s="13">
        <f>'BILANS 2023'!K26</f>
        <v>3300000</v>
      </c>
      <c r="K26" s="173">
        <f>K27+K28</f>
        <v>3000000</v>
      </c>
      <c r="L26" s="165">
        <f t="shared" si="2"/>
        <v>-300000</v>
      </c>
      <c r="M26" s="166">
        <f t="shared" si="3"/>
        <v>-9.0909090909090912E-2</v>
      </c>
    </row>
    <row r="27" spans="1:24">
      <c r="A27" s="18" t="s">
        <v>20</v>
      </c>
      <c r="B27" s="184" t="s">
        <v>52</v>
      </c>
      <c r="C27" s="9">
        <f>'BILANS 2023'!D27</f>
        <v>0</v>
      </c>
      <c r="D27" s="82">
        <f>D28+D29+D30+D46</f>
        <v>0</v>
      </c>
      <c r="E27" s="9">
        <f t="shared" si="0"/>
        <v>0</v>
      </c>
      <c r="F27" s="157" t="e">
        <f t="shared" si="1"/>
        <v>#DIV/0!</v>
      </c>
      <c r="G27" s="226"/>
      <c r="H27" s="70"/>
      <c r="I27" s="30" t="s">
        <v>55</v>
      </c>
      <c r="J27" s="13">
        <f>'BILANS 2023'!K27</f>
        <v>0</v>
      </c>
      <c r="K27" s="484"/>
      <c r="L27" s="165">
        <f t="shared" si="2"/>
        <v>0</v>
      </c>
      <c r="M27" s="166" t="e">
        <f t="shared" si="3"/>
        <v>#DIV/0!</v>
      </c>
    </row>
    <row r="28" spans="1:24" ht="15.75" thickBot="1">
      <c r="A28" s="21">
        <v>1</v>
      </c>
      <c r="B28" s="185" t="s">
        <v>54</v>
      </c>
      <c r="C28" s="22">
        <f>'BILANS 2023'!D28</f>
        <v>0</v>
      </c>
      <c r="D28" s="488"/>
      <c r="E28" s="229">
        <f t="shared" si="0"/>
        <v>0</v>
      </c>
      <c r="F28" s="181" t="e">
        <f t="shared" si="1"/>
        <v>#DIV/0!</v>
      </c>
      <c r="G28" s="226"/>
      <c r="H28" s="70"/>
      <c r="I28" s="30" t="s">
        <v>56</v>
      </c>
      <c r="J28" s="15">
        <f>'BILANS 2023'!K28</f>
        <v>3300000</v>
      </c>
      <c r="K28" s="486">
        <v>3000000</v>
      </c>
      <c r="L28" s="169">
        <f t="shared" si="2"/>
        <v>-300000</v>
      </c>
      <c r="M28" s="170">
        <f t="shared" si="3"/>
        <v>-9.0909090909090912E-2</v>
      </c>
    </row>
    <row r="29" spans="1:24">
      <c r="A29" s="21">
        <v>2</v>
      </c>
      <c r="B29" s="186" t="s">
        <v>206</v>
      </c>
      <c r="C29" s="22">
        <f>'BILANS 2023'!D29</f>
        <v>0</v>
      </c>
      <c r="D29" s="488"/>
      <c r="E29" s="230">
        <f t="shared" si="0"/>
        <v>0</v>
      </c>
      <c r="F29" s="182" t="e">
        <f t="shared" si="1"/>
        <v>#DIV/0!</v>
      </c>
      <c r="G29" s="226"/>
      <c r="H29" s="97" t="s">
        <v>11</v>
      </c>
      <c r="I29" s="28" t="s">
        <v>58</v>
      </c>
      <c r="J29" s="9">
        <f>'BILANS 2023'!K29</f>
        <v>1851460</v>
      </c>
      <c r="K29" s="82">
        <f>K30+K31+K32</f>
        <v>1537020</v>
      </c>
      <c r="L29" s="174">
        <f t="shared" si="2"/>
        <v>-314440</v>
      </c>
      <c r="M29" s="175">
        <f t="shared" si="3"/>
        <v>-0.16983353677638188</v>
      </c>
      <c r="X29" s="382"/>
    </row>
    <row r="30" spans="1:24">
      <c r="A30" s="21">
        <v>3</v>
      </c>
      <c r="B30" s="186" t="s">
        <v>57</v>
      </c>
      <c r="C30" s="22">
        <f>'BILANS 2023'!D30</f>
        <v>0</v>
      </c>
      <c r="D30" s="488"/>
      <c r="E30" s="230">
        <f t="shared" si="0"/>
        <v>0</v>
      </c>
      <c r="F30" s="182" t="e">
        <f t="shared" si="1"/>
        <v>#DIV/0!</v>
      </c>
      <c r="G30" s="226"/>
      <c r="H30" s="70">
        <v>1</v>
      </c>
      <c r="I30" s="30" t="s">
        <v>60</v>
      </c>
      <c r="J30" s="13">
        <f>'BILANS 2023'!K30</f>
        <v>0</v>
      </c>
      <c r="K30" s="484"/>
      <c r="L30" s="163">
        <f t="shared" si="2"/>
        <v>0</v>
      </c>
      <c r="M30" s="164" t="e">
        <f t="shared" si="3"/>
        <v>#DIV/0!</v>
      </c>
    </row>
    <row r="31" spans="1:24" ht="30">
      <c r="A31" s="12" t="s">
        <v>21</v>
      </c>
      <c r="B31" s="188" t="s">
        <v>59</v>
      </c>
      <c r="C31" s="13">
        <f>'BILANS 2023'!D31</f>
        <v>0</v>
      </c>
      <c r="D31" s="83">
        <f>SUM(D32:D35)</f>
        <v>0</v>
      </c>
      <c r="E31" s="230">
        <f t="shared" si="0"/>
        <v>0</v>
      </c>
      <c r="F31" s="182" t="e">
        <f t="shared" si="1"/>
        <v>#DIV/0!</v>
      </c>
      <c r="G31" s="226"/>
      <c r="H31" s="151">
        <v>2</v>
      </c>
      <c r="I31" s="207" t="s">
        <v>62</v>
      </c>
      <c r="J31" s="208">
        <f>'BILANS 2023'!K31</f>
        <v>0</v>
      </c>
      <c r="K31" s="516"/>
      <c r="L31" s="169">
        <f t="shared" si="2"/>
        <v>0</v>
      </c>
      <c r="M31" s="170" t="e">
        <f t="shared" si="3"/>
        <v>#DIV/0!</v>
      </c>
    </row>
    <row r="32" spans="1:24">
      <c r="A32" s="12"/>
      <c r="B32" s="188" t="s">
        <v>61</v>
      </c>
      <c r="C32" s="13">
        <f>'BILANS 2023'!D32</f>
        <v>0</v>
      </c>
      <c r="D32" s="484"/>
      <c r="E32" s="230">
        <f t="shared" si="0"/>
        <v>0</v>
      </c>
      <c r="F32" s="182" t="e">
        <f t="shared" si="1"/>
        <v>#DIV/0!</v>
      </c>
      <c r="G32" s="226"/>
      <c r="H32" s="70">
        <v>3</v>
      </c>
      <c r="I32" s="30" t="s">
        <v>65</v>
      </c>
      <c r="J32" s="13">
        <f>'BILANS 2023'!K32</f>
        <v>1851460</v>
      </c>
      <c r="K32" s="173">
        <f>SUM(K33:K37)</f>
        <v>1537020</v>
      </c>
      <c r="L32" s="165">
        <f t="shared" si="2"/>
        <v>-314440</v>
      </c>
      <c r="M32" s="166">
        <f t="shared" si="3"/>
        <v>-0.16983353677638188</v>
      </c>
    </row>
    <row r="33" spans="1:13">
      <c r="A33" s="12"/>
      <c r="B33" s="188" t="s">
        <v>63</v>
      </c>
      <c r="C33" s="13">
        <f>'BILANS 2023'!D33</f>
        <v>0</v>
      </c>
      <c r="D33" s="484"/>
      <c r="E33" s="230">
        <f t="shared" si="0"/>
        <v>0</v>
      </c>
      <c r="F33" s="182" t="e">
        <f t="shared" si="1"/>
        <v>#DIV/0!</v>
      </c>
      <c r="G33" s="226"/>
      <c r="H33" s="70" t="s">
        <v>21</v>
      </c>
      <c r="I33" s="30" t="s">
        <v>67</v>
      </c>
      <c r="J33" s="13">
        <f>'BILANS 2023'!K33</f>
        <v>1561100</v>
      </c>
      <c r="K33" s="515">
        <v>1371200</v>
      </c>
      <c r="L33" s="165">
        <f t="shared" si="2"/>
        <v>-189900</v>
      </c>
      <c r="M33" s="166">
        <f t="shared" si="3"/>
        <v>-0.12164499391454743</v>
      </c>
    </row>
    <row r="34" spans="1:13">
      <c r="A34" s="12"/>
      <c r="B34" s="188" t="s">
        <v>64</v>
      </c>
      <c r="C34" s="13">
        <f>'BILANS 2023'!D34</f>
        <v>0</v>
      </c>
      <c r="D34" s="484"/>
      <c r="E34" s="230">
        <f t="shared" si="0"/>
        <v>0</v>
      </c>
      <c r="F34" s="182" t="e">
        <f t="shared" si="1"/>
        <v>#DIV/0!</v>
      </c>
      <c r="G34" s="226"/>
      <c r="H34" s="70" t="s">
        <v>24</v>
      </c>
      <c r="I34" s="30" t="s">
        <v>69</v>
      </c>
      <c r="J34" s="13">
        <f>'BILANS 2023'!K34</f>
        <v>0</v>
      </c>
      <c r="K34" s="484"/>
      <c r="L34" s="165">
        <f t="shared" si="2"/>
        <v>0</v>
      </c>
      <c r="M34" s="166" t="e">
        <f t="shared" si="3"/>
        <v>#DIV/0!</v>
      </c>
    </row>
    <row r="35" spans="1:13">
      <c r="A35" s="12"/>
      <c r="B35" s="30" t="s">
        <v>66</v>
      </c>
      <c r="C35" s="13">
        <f>'BILANS 2023'!D35</f>
        <v>0</v>
      </c>
      <c r="D35" s="484"/>
      <c r="E35" s="230">
        <f t="shared" si="0"/>
        <v>0</v>
      </c>
      <c r="F35" s="182" t="e">
        <f t="shared" si="1"/>
        <v>#DIV/0!</v>
      </c>
      <c r="G35" s="226"/>
      <c r="H35" s="70" t="s">
        <v>27</v>
      </c>
      <c r="I35" s="30" t="s">
        <v>70</v>
      </c>
      <c r="J35" s="13">
        <f>'BILANS 2023'!K35</f>
        <v>290360</v>
      </c>
      <c r="K35" s="484">
        <v>165820</v>
      </c>
      <c r="L35" s="165">
        <f t="shared" si="2"/>
        <v>-124540</v>
      </c>
      <c r="M35" s="166">
        <f t="shared" si="3"/>
        <v>-0.4289158286265326</v>
      </c>
    </row>
    <row r="36" spans="1:13" ht="30">
      <c r="A36" s="215" t="s">
        <v>24</v>
      </c>
      <c r="B36" s="207" t="s">
        <v>68</v>
      </c>
      <c r="C36" s="208">
        <f>'BILANS 2023'!D36</f>
        <v>0</v>
      </c>
      <c r="D36" s="228">
        <f>SUM(D37:D40)</f>
        <v>0</v>
      </c>
      <c r="E36" s="231">
        <f t="shared" si="0"/>
        <v>0</v>
      </c>
      <c r="F36" s="183" t="e">
        <f t="shared" si="1"/>
        <v>#DIV/0!</v>
      </c>
      <c r="G36" s="226"/>
      <c r="H36" s="70" t="s">
        <v>31</v>
      </c>
      <c r="I36" s="30" t="s">
        <v>71</v>
      </c>
      <c r="J36" s="13">
        <f>'BILANS 2023'!K36</f>
        <v>0</v>
      </c>
      <c r="K36" s="484"/>
      <c r="L36" s="165">
        <f t="shared" si="2"/>
        <v>0</v>
      </c>
      <c r="M36" s="166" t="e">
        <f t="shared" si="3"/>
        <v>#DIV/0!</v>
      </c>
    </row>
    <row r="37" spans="1:13" ht="15.75" thickBot="1">
      <c r="A37" s="69"/>
      <c r="B37" s="190" t="s">
        <v>61</v>
      </c>
      <c r="C37" s="32">
        <f>'BILANS 2023'!D37</f>
        <v>0</v>
      </c>
      <c r="D37" s="494"/>
      <c r="E37" s="230">
        <f t="shared" si="0"/>
        <v>0</v>
      </c>
      <c r="F37" s="182" t="e">
        <f t="shared" si="1"/>
        <v>#DIV/0!</v>
      </c>
      <c r="G37" s="226"/>
      <c r="H37" s="70" t="s">
        <v>35</v>
      </c>
      <c r="I37" s="30" t="s">
        <v>72</v>
      </c>
      <c r="J37" s="15">
        <f>'BILANS 2023'!K37</f>
        <v>0</v>
      </c>
      <c r="K37" s="486"/>
      <c r="L37" s="169">
        <f t="shared" si="2"/>
        <v>0</v>
      </c>
      <c r="M37" s="170" t="e">
        <f t="shared" si="3"/>
        <v>#DIV/0!</v>
      </c>
    </row>
    <row r="38" spans="1:13">
      <c r="A38" s="69"/>
      <c r="B38" s="190" t="s">
        <v>63</v>
      </c>
      <c r="C38" s="32">
        <f>'BILANS 2023'!D38</f>
        <v>0</v>
      </c>
      <c r="D38" s="494"/>
      <c r="E38" s="230">
        <f t="shared" si="0"/>
        <v>0</v>
      </c>
      <c r="F38" s="182" t="e">
        <f t="shared" si="1"/>
        <v>#DIV/0!</v>
      </c>
      <c r="G38" s="226"/>
      <c r="H38" s="97" t="s">
        <v>16</v>
      </c>
      <c r="I38" s="28" t="s">
        <v>73</v>
      </c>
      <c r="J38" s="9">
        <f>'BILANS 2023'!K38</f>
        <v>29648488.829999998</v>
      </c>
      <c r="K38" s="82">
        <f>K39+K49+K61</f>
        <v>30914440</v>
      </c>
      <c r="L38" s="174">
        <f t="shared" si="2"/>
        <v>1265951.1700000018</v>
      </c>
      <c r="M38" s="175">
        <f t="shared" si="3"/>
        <v>4.2698674366129639E-2</v>
      </c>
    </row>
    <row r="39" spans="1:13">
      <c r="A39" s="69"/>
      <c r="B39" s="190" t="s">
        <v>64</v>
      </c>
      <c r="C39" s="32">
        <f>'BILANS 2023'!D39</f>
        <v>0</v>
      </c>
      <c r="D39" s="494"/>
      <c r="E39" s="230">
        <f t="shared" si="0"/>
        <v>0</v>
      </c>
      <c r="F39" s="182" t="e">
        <f t="shared" si="1"/>
        <v>#DIV/0!</v>
      </c>
      <c r="G39" s="226"/>
      <c r="H39" s="70">
        <v>1</v>
      </c>
      <c r="I39" s="30" t="s">
        <v>60</v>
      </c>
      <c r="J39" s="13">
        <f>'BILANS 2023'!K39</f>
        <v>0</v>
      </c>
      <c r="K39" s="173">
        <f>K40+K43</f>
        <v>0</v>
      </c>
      <c r="L39" s="163">
        <f t="shared" si="2"/>
        <v>0</v>
      </c>
      <c r="M39" s="164" t="e">
        <f t="shared" si="3"/>
        <v>#DIV/0!</v>
      </c>
    </row>
    <row r="40" spans="1:13">
      <c r="A40" s="69"/>
      <c r="B40" s="33" t="s">
        <v>66</v>
      </c>
      <c r="C40" s="32">
        <f>'BILANS 2023'!D40</f>
        <v>0</v>
      </c>
      <c r="D40" s="494"/>
      <c r="E40" s="230">
        <f t="shared" si="0"/>
        <v>0</v>
      </c>
      <c r="F40" s="182" t="e">
        <f t="shared" si="1"/>
        <v>#DIV/0!</v>
      </c>
      <c r="G40" s="226"/>
      <c r="H40" s="70" t="s">
        <v>21</v>
      </c>
      <c r="I40" s="30" t="s">
        <v>75</v>
      </c>
      <c r="J40" s="13">
        <f>'BILANS 2023'!K40</f>
        <v>0</v>
      </c>
      <c r="K40" s="173">
        <f>K41+K42</f>
        <v>0</v>
      </c>
      <c r="L40" s="165">
        <f t="shared" si="2"/>
        <v>0</v>
      </c>
      <c r="M40" s="166" t="e">
        <f t="shared" si="3"/>
        <v>#DIV/0!</v>
      </c>
    </row>
    <row r="41" spans="1:13">
      <c r="A41" s="12" t="s">
        <v>27</v>
      </c>
      <c r="B41" s="188" t="s">
        <v>74</v>
      </c>
      <c r="C41" s="13">
        <f>'BILANS 2023'!D41</f>
        <v>0</v>
      </c>
      <c r="D41" s="83">
        <f>SUM(D42:D45)</f>
        <v>0</v>
      </c>
      <c r="E41" s="230">
        <f t="shared" si="0"/>
        <v>0</v>
      </c>
      <c r="F41" s="182" t="e">
        <f t="shared" si="1"/>
        <v>#DIV/0!</v>
      </c>
      <c r="G41" s="226"/>
      <c r="H41" s="70"/>
      <c r="I41" s="29" t="s">
        <v>76</v>
      </c>
      <c r="J41" s="13">
        <f>'BILANS 2023'!K41</f>
        <v>0</v>
      </c>
      <c r="K41" s="515"/>
      <c r="L41" s="165">
        <f t="shared" si="2"/>
        <v>0</v>
      </c>
      <c r="M41" s="166" t="e">
        <f t="shared" si="3"/>
        <v>#DIV/0!</v>
      </c>
    </row>
    <row r="42" spans="1:13">
      <c r="A42" s="12"/>
      <c r="B42" s="188" t="s">
        <v>61</v>
      </c>
      <c r="C42" s="13">
        <f>'BILANS 2023'!D42</f>
        <v>0</v>
      </c>
      <c r="D42" s="484"/>
      <c r="E42" s="230">
        <f t="shared" si="0"/>
        <v>0</v>
      </c>
      <c r="F42" s="182" t="e">
        <f t="shared" si="1"/>
        <v>#DIV/0!</v>
      </c>
      <c r="G42" s="226"/>
      <c r="H42" s="70"/>
      <c r="I42" s="29" t="s">
        <v>77</v>
      </c>
      <c r="J42" s="13">
        <f>'BILANS 2023'!K42</f>
        <v>0</v>
      </c>
      <c r="K42" s="515"/>
      <c r="L42" s="165">
        <f t="shared" si="2"/>
        <v>0</v>
      </c>
      <c r="M42" s="166" t="e">
        <f t="shared" si="3"/>
        <v>#DIV/0!</v>
      </c>
    </row>
    <row r="43" spans="1:13">
      <c r="A43" s="12"/>
      <c r="B43" s="188" t="s">
        <v>63</v>
      </c>
      <c r="C43" s="13">
        <f>'BILANS 2023'!D43</f>
        <v>0</v>
      </c>
      <c r="D43" s="484"/>
      <c r="E43" s="230">
        <f t="shared" si="0"/>
        <v>0</v>
      </c>
      <c r="F43" s="182" t="e">
        <f t="shared" si="1"/>
        <v>#DIV/0!</v>
      </c>
      <c r="G43" s="226"/>
      <c r="H43" s="70" t="s">
        <v>24</v>
      </c>
      <c r="I43" s="30" t="s">
        <v>78</v>
      </c>
      <c r="J43" s="13">
        <f>'BILANS 2023'!K43</f>
        <v>0</v>
      </c>
      <c r="K43" s="515"/>
      <c r="L43" s="165">
        <f t="shared" si="2"/>
        <v>0</v>
      </c>
      <c r="M43" s="166" t="e">
        <f t="shared" si="3"/>
        <v>#DIV/0!</v>
      </c>
    </row>
    <row r="44" spans="1:13" ht="30">
      <c r="A44" s="12"/>
      <c r="B44" s="188" t="s">
        <v>64</v>
      </c>
      <c r="C44" s="13">
        <f>'BILANS 2023'!D44</f>
        <v>0</v>
      </c>
      <c r="D44" s="484"/>
      <c r="E44" s="230">
        <f t="shared" si="0"/>
        <v>0</v>
      </c>
      <c r="F44" s="182" t="e">
        <f t="shared" si="1"/>
        <v>#DIV/0!</v>
      </c>
      <c r="G44" s="226"/>
      <c r="H44" s="151">
        <v>2</v>
      </c>
      <c r="I44" s="207" t="s">
        <v>62</v>
      </c>
      <c r="J44" s="208">
        <f>'BILANS 2023'!K44</f>
        <v>0</v>
      </c>
      <c r="K44" s="216">
        <f>K45+K48</f>
        <v>0</v>
      </c>
      <c r="L44" s="169">
        <f>K44-J44</f>
        <v>0</v>
      </c>
      <c r="M44" s="170" t="e">
        <f>L44/J44</f>
        <v>#DIV/0!</v>
      </c>
    </row>
    <row r="45" spans="1:13">
      <c r="A45" s="12"/>
      <c r="B45" s="30" t="s">
        <v>66</v>
      </c>
      <c r="C45" s="13">
        <f>'BILANS 2023'!D45</f>
        <v>0</v>
      </c>
      <c r="D45" s="484"/>
      <c r="E45" s="230">
        <f t="shared" si="0"/>
        <v>0</v>
      </c>
      <c r="F45" s="182" t="e">
        <f t="shared" si="1"/>
        <v>#DIV/0!</v>
      </c>
      <c r="G45" s="226"/>
      <c r="H45" s="219" t="s">
        <v>21</v>
      </c>
      <c r="I45" s="33" t="s">
        <v>75</v>
      </c>
      <c r="J45" s="32">
        <f>'BILANS 2023'!K45</f>
        <v>0</v>
      </c>
      <c r="K45" s="176">
        <f>K46+K47</f>
        <v>0</v>
      </c>
      <c r="L45" s="165">
        <f t="shared" si="2"/>
        <v>0</v>
      </c>
      <c r="M45" s="166" t="e">
        <f t="shared" si="3"/>
        <v>#DIV/0!</v>
      </c>
    </row>
    <row r="46" spans="1:13" ht="15.75" thickBot="1">
      <c r="A46" s="24">
        <v>4</v>
      </c>
      <c r="B46" s="191" t="s">
        <v>79</v>
      </c>
      <c r="C46" s="25">
        <f>'BILANS 2023'!D46</f>
        <v>0</v>
      </c>
      <c r="D46" s="490"/>
      <c r="E46" s="231">
        <f t="shared" si="0"/>
        <v>0</v>
      </c>
      <c r="F46" s="183" t="e">
        <f t="shared" si="1"/>
        <v>#DIV/0!</v>
      </c>
      <c r="G46" s="226"/>
      <c r="H46" s="219"/>
      <c r="I46" s="31" t="s">
        <v>76</v>
      </c>
      <c r="J46" s="32">
        <f>'BILANS 2023'!K46</f>
        <v>0</v>
      </c>
      <c r="K46" s="517"/>
      <c r="L46" s="165">
        <f t="shared" si="2"/>
        <v>0</v>
      </c>
      <c r="M46" s="166" t="e">
        <f t="shared" si="3"/>
        <v>#DIV/0!</v>
      </c>
    </row>
    <row r="47" spans="1:13">
      <c r="A47" s="8" t="s">
        <v>80</v>
      </c>
      <c r="B47" s="28" t="s">
        <v>81</v>
      </c>
      <c r="C47" s="9">
        <f>'BILANS 2023'!D47</f>
        <v>0</v>
      </c>
      <c r="D47" s="82">
        <f>D48+D49</f>
        <v>0</v>
      </c>
      <c r="E47" s="9">
        <f t="shared" si="0"/>
        <v>0</v>
      </c>
      <c r="F47" s="157" t="e">
        <f t="shared" si="1"/>
        <v>#DIV/0!</v>
      </c>
      <c r="G47" s="226"/>
      <c r="H47" s="219"/>
      <c r="I47" s="31" t="s">
        <v>77</v>
      </c>
      <c r="J47" s="32">
        <f>'BILANS 2023'!K47</f>
        <v>0</v>
      </c>
      <c r="K47" s="517"/>
      <c r="L47" s="165">
        <f t="shared" si="2"/>
        <v>0</v>
      </c>
      <c r="M47" s="166" t="e">
        <f t="shared" si="3"/>
        <v>#DIV/0!</v>
      </c>
    </row>
    <row r="48" spans="1:13" ht="30">
      <c r="A48" s="12">
        <v>1</v>
      </c>
      <c r="B48" s="30" t="s">
        <v>82</v>
      </c>
      <c r="C48" s="13">
        <f>'BILANS 2023'!D48</f>
        <v>0</v>
      </c>
      <c r="D48" s="484"/>
      <c r="E48" s="229">
        <f t="shared" si="0"/>
        <v>0</v>
      </c>
      <c r="F48" s="181" t="e">
        <f t="shared" si="1"/>
        <v>#DIV/0!</v>
      </c>
      <c r="G48" s="226"/>
      <c r="H48" s="219" t="s">
        <v>24</v>
      </c>
      <c r="I48" s="33" t="s">
        <v>78</v>
      </c>
      <c r="J48" s="32">
        <f>'BILANS 2023'!K48</f>
        <v>0</v>
      </c>
      <c r="K48" s="517"/>
      <c r="L48" s="165">
        <f t="shared" si="2"/>
        <v>0</v>
      </c>
      <c r="M48" s="166" t="e">
        <f t="shared" si="3"/>
        <v>#DIV/0!</v>
      </c>
    </row>
    <row r="49" spans="1:13" ht="15.75" thickBot="1">
      <c r="A49" s="14">
        <v>2</v>
      </c>
      <c r="B49" s="40" t="s">
        <v>83</v>
      </c>
      <c r="C49" s="15">
        <f>'BILANS 2023'!D49</f>
        <v>0</v>
      </c>
      <c r="D49" s="486"/>
      <c r="E49" s="231">
        <f t="shared" si="0"/>
        <v>0</v>
      </c>
      <c r="F49" s="183" t="e">
        <f t="shared" si="1"/>
        <v>#DIV/0!</v>
      </c>
      <c r="G49" s="226"/>
      <c r="H49" s="70">
        <v>3</v>
      </c>
      <c r="I49" s="30" t="s">
        <v>65</v>
      </c>
      <c r="J49" s="13">
        <f>'BILANS 2023'!K49</f>
        <v>27498488.829999998</v>
      </c>
      <c r="K49" s="173">
        <f>K50+K51+K52+K53+K56+K57+K58+K59+K60</f>
        <v>28514440</v>
      </c>
      <c r="L49" s="165">
        <f t="shared" si="2"/>
        <v>1015951.1700000018</v>
      </c>
      <c r="M49" s="166">
        <f t="shared" si="3"/>
        <v>3.6945709136264632E-2</v>
      </c>
    </row>
    <row r="50" spans="1:13">
      <c r="A50" s="34" t="s">
        <v>41</v>
      </c>
      <c r="B50" s="192" t="s">
        <v>84</v>
      </c>
      <c r="C50" s="35">
        <f>'BILANS 2023'!D50</f>
        <v>52710000</v>
      </c>
      <c r="D50" s="267">
        <f>D51+D57+D75+D92</f>
        <v>57806000</v>
      </c>
      <c r="E50" s="35">
        <f t="shared" si="0"/>
        <v>5096000</v>
      </c>
      <c r="F50" s="156">
        <f t="shared" si="1"/>
        <v>9.6679946879150061E-2</v>
      </c>
      <c r="G50" s="226"/>
      <c r="H50" s="70" t="s">
        <v>21</v>
      </c>
      <c r="I50" s="30" t="s">
        <v>67</v>
      </c>
      <c r="J50" s="13">
        <f>'BILANS 2023'!K50</f>
        <v>180800</v>
      </c>
      <c r="K50" s="515">
        <v>189900</v>
      </c>
      <c r="L50" s="165">
        <f t="shared" si="2"/>
        <v>9100</v>
      </c>
      <c r="M50" s="166">
        <f t="shared" si="3"/>
        <v>5.0331858407079648E-2</v>
      </c>
    </row>
    <row r="51" spans="1:13" ht="15.75" thickBot="1">
      <c r="A51" s="36" t="s">
        <v>8</v>
      </c>
      <c r="B51" s="193" t="s">
        <v>85</v>
      </c>
      <c r="C51" s="37">
        <f>'BILANS 2023'!D51</f>
        <v>680000</v>
      </c>
      <c r="D51" s="88">
        <f>D52+D53+D54+D55+D56</f>
        <v>691000</v>
      </c>
      <c r="E51" s="232">
        <f t="shared" si="0"/>
        <v>11000</v>
      </c>
      <c r="F51" s="155">
        <f t="shared" si="1"/>
        <v>1.6176470588235296E-2</v>
      </c>
      <c r="G51" s="226"/>
      <c r="H51" s="70" t="s">
        <v>24</v>
      </c>
      <c r="I51" s="30" t="s">
        <v>69</v>
      </c>
      <c r="J51" s="13">
        <f>'BILANS 2023'!K51</f>
        <v>0</v>
      </c>
      <c r="K51" s="515"/>
      <c r="L51" s="165">
        <f t="shared" si="2"/>
        <v>0</v>
      </c>
      <c r="M51" s="166" t="e">
        <f t="shared" si="3"/>
        <v>#DIV/0!</v>
      </c>
    </row>
    <row r="52" spans="1:13">
      <c r="A52" s="38">
        <v>1</v>
      </c>
      <c r="B52" s="66" t="s">
        <v>86</v>
      </c>
      <c r="C52" s="39">
        <f>'BILANS 2023'!D52</f>
        <v>620000</v>
      </c>
      <c r="D52" s="496">
        <v>630000</v>
      </c>
      <c r="E52" s="229">
        <f t="shared" si="0"/>
        <v>10000</v>
      </c>
      <c r="F52" s="181">
        <f t="shared" si="1"/>
        <v>1.6129032258064516E-2</v>
      </c>
      <c r="G52" s="226"/>
      <c r="H52" s="70" t="s">
        <v>27</v>
      </c>
      <c r="I52" s="30" t="s">
        <v>70</v>
      </c>
      <c r="J52" s="13">
        <f>'BILANS 2023'!K52</f>
        <v>117688.83</v>
      </c>
      <c r="K52" s="515">
        <v>124540</v>
      </c>
      <c r="L52" s="165">
        <f t="shared" si="2"/>
        <v>6851.1699999999983</v>
      </c>
      <c r="M52" s="166">
        <f t="shared" si="3"/>
        <v>5.8214275730330549E-2</v>
      </c>
    </row>
    <row r="53" spans="1:13">
      <c r="A53" s="12">
        <v>2</v>
      </c>
      <c r="B53" s="30" t="s">
        <v>87</v>
      </c>
      <c r="C53" s="13">
        <f>'BILANS 2023'!D53</f>
        <v>0</v>
      </c>
      <c r="D53" s="484"/>
      <c r="E53" s="230">
        <f t="shared" si="0"/>
        <v>0</v>
      </c>
      <c r="F53" s="182" t="e">
        <f t="shared" si="1"/>
        <v>#DIV/0!</v>
      </c>
      <c r="G53" s="226"/>
      <c r="H53" s="220" t="s">
        <v>31</v>
      </c>
      <c r="I53" s="177" t="s">
        <v>75</v>
      </c>
      <c r="J53" s="154">
        <f>'BILANS 2023'!K53</f>
        <v>6400000</v>
      </c>
      <c r="K53" s="178">
        <f>K54+K55</f>
        <v>6600000</v>
      </c>
      <c r="L53" s="163">
        <f t="shared" si="2"/>
        <v>200000</v>
      </c>
      <c r="M53" s="164">
        <f t="shared" si="3"/>
        <v>3.125E-2</v>
      </c>
    </row>
    <row r="54" spans="1:13">
      <c r="A54" s="12">
        <v>3</v>
      </c>
      <c r="B54" s="30" t="s">
        <v>88</v>
      </c>
      <c r="C54" s="13">
        <f>'BILANS 2023'!D54</f>
        <v>0</v>
      </c>
      <c r="D54" s="484"/>
      <c r="E54" s="230">
        <f t="shared" si="0"/>
        <v>0</v>
      </c>
      <c r="F54" s="182" t="e">
        <f t="shared" si="1"/>
        <v>#DIV/0!</v>
      </c>
      <c r="G54" s="226"/>
      <c r="H54" s="70"/>
      <c r="I54" s="29" t="s">
        <v>76</v>
      </c>
      <c r="J54" s="13">
        <f>'BILANS 2023'!K54</f>
        <v>6400000</v>
      </c>
      <c r="K54" s="484">
        <v>6600000</v>
      </c>
      <c r="L54" s="165">
        <f t="shared" si="2"/>
        <v>200000</v>
      </c>
      <c r="M54" s="166">
        <f t="shared" si="3"/>
        <v>3.125E-2</v>
      </c>
    </row>
    <row r="55" spans="1:13">
      <c r="A55" s="198">
        <v>4</v>
      </c>
      <c r="B55" s="177" t="s">
        <v>89</v>
      </c>
      <c r="C55" s="154">
        <f>'BILANS 2023'!D55</f>
        <v>60000</v>
      </c>
      <c r="D55" s="498">
        <v>61000</v>
      </c>
      <c r="E55" s="230">
        <f t="shared" si="0"/>
        <v>1000</v>
      </c>
      <c r="F55" s="182">
        <f t="shared" si="1"/>
        <v>1.6666666666666666E-2</v>
      </c>
      <c r="G55" s="226"/>
      <c r="H55" s="70"/>
      <c r="I55" s="29" t="s">
        <v>77</v>
      </c>
      <c r="J55" s="13">
        <f>'BILANS 2023'!K55</f>
        <v>0</v>
      </c>
      <c r="K55" s="484"/>
      <c r="L55" s="165">
        <f t="shared" si="2"/>
        <v>0</v>
      </c>
      <c r="M55" s="166" t="e">
        <f t="shared" si="3"/>
        <v>#DIV/0!</v>
      </c>
    </row>
    <row r="56" spans="1:13" ht="15.75" thickBot="1">
      <c r="A56" s="14">
        <v>5</v>
      </c>
      <c r="B56" s="194" t="s">
        <v>90</v>
      </c>
      <c r="C56" s="15">
        <f>'BILANS 2023'!D56</f>
        <v>0</v>
      </c>
      <c r="D56" s="486"/>
      <c r="E56" s="231">
        <f t="shared" si="0"/>
        <v>0</v>
      </c>
      <c r="F56" s="183" t="e">
        <f t="shared" si="1"/>
        <v>#DIV/0!</v>
      </c>
      <c r="G56" s="226"/>
      <c r="H56" s="70" t="s">
        <v>35</v>
      </c>
      <c r="I56" s="30" t="s">
        <v>93</v>
      </c>
      <c r="J56" s="13">
        <f>'BILANS 2023'!K56</f>
        <v>0</v>
      </c>
      <c r="K56" s="498"/>
      <c r="L56" s="165">
        <f t="shared" si="2"/>
        <v>0</v>
      </c>
      <c r="M56" s="166" t="e">
        <f t="shared" si="3"/>
        <v>#DIV/0!</v>
      </c>
    </row>
    <row r="57" spans="1:13">
      <c r="A57" s="18" t="s">
        <v>11</v>
      </c>
      <c r="B57" s="184" t="s">
        <v>91</v>
      </c>
      <c r="C57" s="9">
        <f>'BILANS 2023'!D57</f>
        <v>2900000</v>
      </c>
      <c r="D57" s="82">
        <f>D58+D63+D68</f>
        <v>2980000</v>
      </c>
      <c r="E57" s="9">
        <f t="shared" si="0"/>
        <v>80000</v>
      </c>
      <c r="F57" s="157">
        <f t="shared" si="1"/>
        <v>2.7586206896551724E-2</v>
      </c>
      <c r="G57" s="226"/>
      <c r="H57" s="70" t="s">
        <v>95</v>
      </c>
      <c r="I57" s="30" t="s">
        <v>71</v>
      </c>
      <c r="J57" s="13">
        <f>'BILANS 2023'!K57</f>
        <v>0</v>
      </c>
      <c r="K57" s="484"/>
      <c r="L57" s="165">
        <f t="shared" si="2"/>
        <v>0</v>
      </c>
      <c r="M57" s="166" t="e">
        <f t="shared" si="3"/>
        <v>#DIV/0!</v>
      </c>
    </row>
    <row r="58" spans="1:13" ht="30">
      <c r="A58" s="21">
        <v>1</v>
      </c>
      <c r="B58" s="186" t="s">
        <v>92</v>
      </c>
      <c r="C58" s="22">
        <f>'BILANS 2023'!D58</f>
        <v>0</v>
      </c>
      <c r="D58" s="85">
        <f>D59+D62</f>
        <v>0</v>
      </c>
      <c r="E58" s="229">
        <f t="shared" si="0"/>
        <v>0</v>
      </c>
      <c r="F58" s="181" t="e">
        <f t="shared" si="1"/>
        <v>#DIV/0!</v>
      </c>
      <c r="G58" s="226"/>
      <c r="H58" s="70" t="s">
        <v>96</v>
      </c>
      <c r="I58" s="33" t="s">
        <v>97</v>
      </c>
      <c r="J58" s="13">
        <f>'BILANS 2023'!K58</f>
        <v>8900000</v>
      </c>
      <c r="K58" s="484">
        <v>9000000</v>
      </c>
      <c r="L58" s="165">
        <f t="shared" si="2"/>
        <v>100000</v>
      </c>
      <c r="M58" s="166">
        <f t="shared" si="3"/>
        <v>1.1235955056179775E-2</v>
      </c>
    </row>
    <row r="59" spans="1:13">
      <c r="A59" s="12" t="s">
        <v>21</v>
      </c>
      <c r="B59" s="30" t="s">
        <v>94</v>
      </c>
      <c r="C59" s="13">
        <f>'BILANS 2023'!D59</f>
        <v>0</v>
      </c>
      <c r="D59" s="83">
        <f>D60+D61</f>
        <v>0</v>
      </c>
      <c r="E59" s="230">
        <f t="shared" si="0"/>
        <v>0</v>
      </c>
      <c r="F59" s="182" t="e">
        <f t="shared" si="1"/>
        <v>#DIV/0!</v>
      </c>
      <c r="G59" s="226"/>
      <c r="H59" s="70" t="s">
        <v>98</v>
      </c>
      <c r="I59" s="30" t="s">
        <v>99</v>
      </c>
      <c r="J59" s="13">
        <f>'BILANS 2023'!K59</f>
        <v>6600000</v>
      </c>
      <c r="K59" s="484">
        <v>7100000</v>
      </c>
      <c r="L59" s="165">
        <f t="shared" si="2"/>
        <v>500000</v>
      </c>
      <c r="M59" s="166">
        <f t="shared" si="3"/>
        <v>7.575757575757576E-2</v>
      </c>
    </row>
    <row r="60" spans="1:13">
      <c r="A60" s="12"/>
      <c r="B60" s="188" t="s">
        <v>76</v>
      </c>
      <c r="C60" s="13">
        <f>'BILANS 2023'!D60</f>
        <v>0</v>
      </c>
      <c r="D60" s="484"/>
      <c r="E60" s="230">
        <f t="shared" si="0"/>
        <v>0</v>
      </c>
      <c r="F60" s="182" t="e">
        <f t="shared" si="1"/>
        <v>#DIV/0!</v>
      </c>
      <c r="G60" s="226"/>
      <c r="H60" s="70" t="s">
        <v>100</v>
      </c>
      <c r="I60" s="30" t="s">
        <v>78</v>
      </c>
      <c r="J60" s="13">
        <f>'BILANS 2023'!K60</f>
        <v>5300000</v>
      </c>
      <c r="K60" s="484">
        <v>5500000</v>
      </c>
      <c r="L60" s="165">
        <f t="shared" si="2"/>
        <v>200000</v>
      </c>
      <c r="M60" s="166">
        <f t="shared" si="3"/>
        <v>3.7735849056603772E-2</v>
      </c>
    </row>
    <row r="61" spans="1:13" ht="15.75" thickBot="1">
      <c r="A61" s="12"/>
      <c r="B61" s="188" t="s">
        <v>77</v>
      </c>
      <c r="C61" s="13">
        <f>'BILANS 2023'!D61</f>
        <v>0</v>
      </c>
      <c r="D61" s="484"/>
      <c r="E61" s="230">
        <f t="shared" si="0"/>
        <v>0</v>
      </c>
      <c r="F61" s="182" t="e">
        <f t="shared" si="1"/>
        <v>#DIV/0!</v>
      </c>
      <c r="G61" s="226"/>
      <c r="H61" s="70">
        <v>4</v>
      </c>
      <c r="I61" s="30" t="s">
        <v>102</v>
      </c>
      <c r="J61" s="15">
        <f>'BILANS 2023'!K61</f>
        <v>2150000</v>
      </c>
      <c r="K61" s="486">
        <v>2400000</v>
      </c>
      <c r="L61" s="169">
        <f t="shared" si="2"/>
        <v>250000</v>
      </c>
      <c r="M61" s="170">
        <f t="shared" si="3"/>
        <v>0.11627906976744186</v>
      </c>
    </row>
    <row r="62" spans="1:13">
      <c r="A62" s="12" t="s">
        <v>24</v>
      </c>
      <c r="B62" s="30" t="s">
        <v>78</v>
      </c>
      <c r="C62" s="13">
        <f>'BILANS 2023'!D62</f>
        <v>0</v>
      </c>
      <c r="D62" s="484"/>
      <c r="E62" s="230">
        <f t="shared" si="0"/>
        <v>0</v>
      </c>
      <c r="F62" s="182" t="e">
        <f t="shared" si="1"/>
        <v>#DIV/0!</v>
      </c>
      <c r="G62" s="226"/>
      <c r="H62" s="97" t="s">
        <v>20</v>
      </c>
      <c r="I62" s="28" t="s">
        <v>103</v>
      </c>
      <c r="J62" s="9">
        <f>'BILANS 2023'!K62</f>
        <v>12448980</v>
      </c>
      <c r="K62" s="82">
        <f>K63+K64</f>
        <v>9867062</v>
      </c>
      <c r="L62" s="174">
        <f t="shared" si="2"/>
        <v>-2581918</v>
      </c>
      <c r="M62" s="175">
        <f t="shared" si="3"/>
        <v>-0.20739996369180447</v>
      </c>
    </row>
    <row r="63" spans="1:13" ht="30">
      <c r="A63" s="67">
        <v>2</v>
      </c>
      <c r="B63" s="195" t="s">
        <v>101</v>
      </c>
      <c r="C63" s="68">
        <f>'BILANS 2023'!D63</f>
        <v>0</v>
      </c>
      <c r="D63" s="90">
        <f>D64+D67</f>
        <v>0</v>
      </c>
      <c r="E63" s="230">
        <f t="shared" si="0"/>
        <v>0</v>
      </c>
      <c r="F63" s="182" t="e">
        <f t="shared" si="1"/>
        <v>#DIV/0!</v>
      </c>
      <c r="G63" s="226"/>
      <c r="H63" s="70">
        <v>1</v>
      </c>
      <c r="I63" s="30" t="s">
        <v>104</v>
      </c>
      <c r="J63" s="13">
        <f>'BILANS 2023'!K63</f>
        <v>0</v>
      </c>
      <c r="K63" s="484"/>
      <c r="L63" s="163">
        <f t="shared" si="2"/>
        <v>0</v>
      </c>
      <c r="M63" s="164" t="e">
        <f t="shared" si="3"/>
        <v>#DIV/0!</v>
      </c>
    </row>
    <row r="64" spans="1:13">
      <c r="A64" s="69" t="s">
        <v>21</v>
      </c>
      <c r="B64" s="33" t="s">
        <v>94</v>
      </c>
      <c r="C64" s="32">
        <f>'BILANS 2023'!D64</f>
        <v>0</v>
      </c>
      <c r="D64" s="87">
        <f>D65+D66</f>
        <v>0</v>
      </c>
      <c r="E64" s="230">
        <f t="shared" si="0"/>
        <v>0</v>
      </c>
      <c r="F64" s="182" t="e">
        <f t="shared" si="1"/>
        <v>#DIV/0!</v>
      </c>
      <c r="G64" s="226"/>
      <c r="H64" s="70">
        <v>2</v>
      </c>
      <c r="I64" s="30" t="s">
        <v>83</v>
      </c>
      <c r="J64" s="13">
        <f>'BILANS 2023'!K64</f>
        <v>12448980</v>
      </c>
      <c r="K64" s="173">
        <f>K65+K66</f>
        <v>9867062</v>
      </c>
      <c r="L64" s="165">
        <f t="shared" si="2"/>
        <v>-2581918</v>
      </c>
      <c r="M64" s="166">
        <f t="shared" si="3"/>
        <v>-0.20739996369180447</v>
      </c>
    </row>
    <row r="65" spans="1:13">
      <c r="A65" s="69"/>
      <c r="B65" s="190" t="s">
        <v>76</v>
      </c>
      <c r="C65" s="32">
        <f>'BILANS 2023'!D65</f>
        <v>0</v>
      </c>
      <c r="D65" s="494"/>
      <c r="E65" s="230">
        <f t="shared" si="0"/>
        <v>0</v>
      </c>
      <c r="F65" s="182" t="e">
        <f t="shared" si="1"/>
        <v>#DIV/0!</v>
      </c>
      <c r="G65" s="226"/>
      <c r="H65" s="70"/>
      <c r="I65" s="30" t="s">
        <v>55</v>
      </c>
      <c r="J65" s="13">
        <f>'BILANS 2023'!K65</f>
        <v>9803645</v>
      </c>
      <c r="K65" s="484">
        <v>7221727</v>
      </c>
      <c r="L65" s="165">
        <f t="shared" si="2"/>
        <v>-2581918</v>
      </c>
      <c r="M65" s="166">
        <f t="shared" si="3"/>
        <v>-0.26336306547207694</v>
      </c>
    </row>
    <row r="66" spans="1:13">
      <c r="A66" s="69"/>
      <c r="B66" s="190" t="s">
        <v>77</v>
      </c>
      <c r="C66" s="32">
        <f>'BILANS 2023'!D66</f>
        <v>0</v>
      </c>
      <c r="D66" s="494"/>
      <c r="E66" s="230">
        <f t="shared" si="0"/>
        <v>0</v>
      </c>
      <c r="F66" s="182" t="e">
        <f t="shared" si="1"/>
        <v>#DIV/0!</v>
      </c>
      <c r="G66" s="226"/>
      <c r="H66" s="70"/>
      <c r="I66" s="30" t="s">
        <v>56</v>
      </c>
      <c r="J66" s="13">
        <f>'BILANS 2023'!K66</f>
        <v>2645335</v>
      </c>
      <c r="K66" s="484">
        <v>2645335</v>
      </c>
      <c r="L66" s="165">
        <f t="shared" si="2"/>
        <v>0</v>
      </c>
      <c r="M66" s="166">
        <f t="shared" si="3"/>
        <v>0</v>
      </c>
    </row>
    <row r="67" spans="1:13">
      <c r="A67" s="69" t="s">
        <v>24</v>
      </c>
      <c r="B67" s="33" t="s">
        <v>78</v>
      </c>
      <c r="C67" s="32">
        <f>'BILANS 2023'!D67</f>
        <v>0</v>
      </c>
      <c r="D67" s="494"/>
      <c r="E67" s="230">
        <f t="shared" si="0"/>
        <v>0</v>
      </c>
      <c r="F67" s="182" t="e">
        <f t="shared" si="1"/>
        <v>#DIV/0!</v>
      </c>
      <c r="G67" s="226"/>
      <c r="H67" s="70"/>
      <c r="I67" s="30"/>
      <c r="J67" s="13"/>
      <c r="K67" s="484"/>
      <c r="L67" s="165"/>
      <c r="M67" s="166"/>
    </row>
    <row r="68" spans="1:13">
      <c r="A68" s="21">
        <v>3</v>
      </c>
      <c r="B68" s="186" t="s">
        <v>105</v>
      </c>
      <c r="C68" s="22">
        <f>'BILANS 2023'!D68</f>
        <v>2900000</v>
      </c>
      <c r="D68" s="85">
        <f>D69+D72+D73+D74</f>
        <v>2980000</v>
      </c>
      <c r="E68" s="230">
        <f t="shared" si="0"/>
        <v>80000</v>
      </c>
      <c r="F68" s="182">
        <f t="shared" si="1"/>
        <v>2.7586206896551724E-2</v>
      </c>
      <c r="G68" s="226"/>
      <c r="H68" s="70"/>
      <c r="I68" s="30"/>
      <c r="J68" s="13"/>
      <c r="K68" s="484"/>
      <c r="L68" s="165"/>
      <c r="M68" s="166"/>
    </row>
    <row r="69" spans="1:13">
      <c r="A69" s="12" t="s">
        <v>21</v>
      </c>
      <c r="B69" s="30" t="s">
        <v>94</v>
      </c>
      <c r="C69" s="13">
        <f>'BILANS 2023'!D69</f>
        <v>2400000</v>
      </c>
      <c r="D69" s="83">
        <f>D70+D71</f>
        <v>2500000</v>
      </c>
      <c r="E69" s="230">
        <f t="shared" si="0"/>
        <v>100000</v>
      </c>
      <c r="F69" s="182">
        <f t="shared" si="1"/>
        <v>4.1666666666666664E-2</v>
      </c>
      <c r="G69" s="226"/>
      <c r="H69" s="70"/>
      <c r="I69" s="30"/>
      <c r="J69" s="13"/>
      <c r="K69" s="484"/>
      <c r="L69" s="165"/>
      <c r="M69" s="166"/>
    </row>
    <row r="70" spans="1:13">
      <c r="A70" s="12"/>
      <c r="B70" s="188" t="s">
        <v>76</v>
      </c>
      <c r="C70" s="13">
        <f>'BILANS 2023'!D70</f>
        <v>2400000</v>
      </c>
      <c r="D70" s="484">
        <v>2500000</v>
      </c>
      <c r="E70" s="230">
        <f t="shared" si="0"/>
        <v>100000</v>
      </c>
      <c r="F70" s="182">
        <f t="shared" si="1"/>
        <v>4.1666666666666664E-2</v>
      </c>
      <c r="G70" s="226"/>
      <c r="H70" s="70"/>
      <c r="I70" s="30"/>
      <c r="J70" s="13"/>
      <c r="K70" s="484"/>
      <c r="L70" s="165"/>
      <c r="M70" s="166"/>
    </row>
    <row r="71" spans="1:13">
      <c r="A71" s="12"/>
      <c r="B71" s="188" t="s">
        <v>77</v>
      </c>
      <c r="C71" s="13">
        <f>'BILANS 2023'!D71</f>
        <v>0</v>
      </c>
      <c r="D71" s="484"/>
      <c r="E71" s="230">
        <f t="shared" si="0"/>
        <v>0</v>
      </c>
      <c r="F71" s="182" t="e">
        <f t="shared" si="1"/>
        <v>#DIV/0!</v>
      </c>
      <c r="G71" s="226"/>
      <c r="H71" s="70"/>
      <c r="I71" s="30"/>
      <c r="J71" s="13"/>
      <c r="K71" s="484"/>
      <c r="L71" s="165"/>
      <c r="M71" s="166"/>
    </row>
    <row r="72" spans="1:13" ht="30">
      <c r="A72" s="12" t="s">
        <v>24</v>
      </c>
      <c r="B72" s="30" t="s">
        <v>106</v>
      </c>
      <c r="C72" s="13">
        <f>'BILANS 2023'!D72</f>
        <v>0</v>
      </c>
      <c r="D72" s="484"/>
      <c r="E72" s="230">
        <f t="shared" si="0"/>
        <v>0</v>
      </c>
      <c r="F72" s="182" t="e">
        <f t="shared" si="1"/>
        <v>#DIV/0!</v>
      </c>
      <c r="G72" s="226"/>
      <c r="H72" s="70"/>
      <c r="I72" s="30"/>
      <c r="J72" s="13"/>
      <c r="K72" s="484"/>
      <c r="L72" s="165"/>
      <c r="M72" s="166"/>
    </row>
    <row r="73" spans="1:13">
      <c r="A73" s="12" t="s">
        <v>27</v>
      </c>
      <c r="B73" s="30" t="s">
        <v>78</v>
      </c>
      <c r="C73" s="13">
        <f>'BILANS 2023'!D73</f>
        <v>500000</v>
      </c>
      <c r="D73" s="484">
        <v>480000</v>
      </c>
      <c r="E73" s="230">
        <f t="shared" ref="E73:E95" si="4">D73-C73</f>
        <v>-20000</v>
      </c>
      <c r="F73" s="182">
        <f t="shared" ref="F73:F95" si="5">E73/C73</f>
        <v>-0.04</v>
      </c>
      <c r="G73" s="226"/>
      <c r="H73" s="70"/>
      <c r="I73" s="30"/>
      <c r="J73" s="13"/>
      <c r="K73" s="83"/>
      <c r="L73" s="165"/>
      <c r="M73" s="166"/>
    </row>
    <row r="74" spans="1:13" ht="15.75" thickBot="1">
      <c r="A74" s="223" t="s">
        <v>31</v>
      </c>
      <c r="B74" s="196" t="s">
        <v>107</v>
      </c>
      <c r="C74" s="15">
        <f>'BILANS 2023'!D74</f>
        <v>0</v>
      </c>
      <c r="D74" s="486"/>
      <c r="E74" s="231">
        <f t="shared" si="4"/>
        <v>0</v>
      </c>
      <c r="F74" s="183" t="e">
        <f t="shared" si="5"/>
        <v>#DIV/0!</v>
      </c>
      <c r="G74" s="226"/>
      <c r="H74" s="70"/>
      <c r="I74" s="30"/>
      <c r="J74" s="13"/>
      <c r="K74" s="83"/>
      <c r="L74" s="165"/>
      <c r="M74" s="166"/>
    </row>
    <row r="75" spans="1:13">
      <c r="A75" s="8" t="s">
        <v>16</v>
      </c>
      <c r="B75" s="28" t="s">
        <v>108</v>
      </c>
      <c r="C75" s="9">
        <f>'BILANS 2023'!D75</f>
        <v>49000000</v>
      </c>
      <c r="D75" s="82">
        <f>D76+D91</f>
        <v>54000000</v>
      </c>
      <c r="E75" s="9">
        <f t="shared" si="4"/>
        <v>5000000</v>
      </c>
      <c r="F75" s="157">
        <f t="shared" si="5"/>
        <v>0.10204081632653061</v>
      </c>
      <c r="G75" s="226"/>
      <c r="H75" s="70"/>
      <c r="I75" s="30"/>
      <c r="J75" s="13"/>
      <c r="K75" s="83"/>
      <c r="L75" s="165"/>
      <c r="M75" s="166"/>
    </row>
    <row r="76" spans="1:13">
      <c r="A76" s="21">
        <v>1</v>
      </c>
      <c r="B76" s="186" t="s">
        <v>109</v>
      </c>
      <c r="C76" s="22">
        <f>'BILANS 2023'!D76</f>
        <v>49000000</v>
      </c>
      <c r="D76" s="85">
        <f>D77+D82+D87</f>
        <v>54000000</v>
      </c>
      <c r="E76" s="229">
        <f t="shared" si="4"/>
        <v>5000000</v>
      </c>
      <c r="F76" s="181">
        <f t="shared" si="5"/>
        <v>0.10204081632653061</v>
      </c>
      <c r="G76" s="226"/>
      <c r="H76" s="70"/>
      <c r="I76" s="30"/>
      <c r="J76" s="13"/>
      <c r="K76" s="83"/>
      <c r="L76" s="165"/>
      <c r="M76" s="166"/>
    </row>
    <row r="77" spans="1:13">
      <c r="A77" s="12" t="s">
        <v>21</v>
      </c>
      <c r="B77" s="188" t="s">
        <v>59</v>
      </c>
      <c r="C77" s="13">
        <f>'BILANS 2023'!D77</f>
        <v>0</v>
      </c>
      <c r="D77" s="83">
        <f>SUM(D78:D81)</f>
        <v>0</v>
      </c>
      <c r="E77" s="230">
        <f t="shared" si="4"/>
        <v>0</v>
      </c>
      <c r="F77" s="182" t="e">
        <f t="shared" si="5"/>
        <v>#DIV/0!</v>
      </c>
      <c r="G77" s="226"/>
      <c r="H77" s="70"/>
      <c r="I77" s="30"/>
      <c r="J77" s="13"/>
      <c r="K77" s="83"/>
      <c r="L77" s="165"/>
      <c r="M77" s="166"/>
    </row>
    <row r="78" spans="1:13">
      <c r="A78" s="12"/>
      <c r="B78" s="188" t="s">
        <v>61</v>
      </c>
      <c r="C78" s="13">
        <f>'BILANS 2023'!D78</f>
        <v>0</v>
      </c>
      <c r="D78" s="484"/>
      <c r="E78" s="230">
        <f t="shared" si="4"/>
        <v>0</v>
      </c>
      <c r="F78" s="182" t="e">
        <f t="shared" si="5"/>
        <v>#DIV/0!</v>
      </c>
      <c r="G78" s="226"/>
      <c r="H78" s="70"/>
      <c r="I78" s="30"/>
      <c r="J78" s="13"/>
      <c r="K78" s="83"/>
      <c r="L78" s="165"/>
      <c r="M78" s="166"/>
    </row>
    <row r="79" spans="1:13">
      <c r="A79" s="12"/>
      <c r="B79" s="188" t="s">
        <v>63</v>
      </c>
      <c r="C79" s="13">
        <f>'BILANS 2023'!D79</f>
        <v>0</v>
      </c>
      <c r="D79" s="484"/>
      <c r="E79" s="230">
        <f t="shared" si="4"/>
        <v>0</v>
      </c>
      <c r="F79" s="182" t="e">
        <f t="shared" si="5"/>
        <v>#DIV/0!</v>
      </c>
      <c r="G79" s="226"/>
      <c r="H79" s="70"/>
      <c r="I79" s="30"/>
      <c r="J79" s="13"/>
      <c r="K79" s="83"/>
      <c r="L79" s="165"/>
      <c r="M79" s="166"/>
    </row>
    <row r="80" spans="1:13">
      <c r="A80" s="12"/>
      <c r="B80" s="188" t="s">
        <v>64</v>
      </c>
      <c r="C80" s="13">
        <f>'BILANS 2023'!D80</f>
        <v>0</v>
      </c>
      <c r="D80" s="484"/>
      <c r="E80" s="230">
        <f t="shared" si="4"/>
        <v>0</v>
      </c>
      <c r="F80" s="182" t="e">
        <f t="shared" si="5"/>
        <v>#DIV/0!</v>
      </c>
      <c r="G80" s="226"/>
      <c r="H80" s="70"/>
      <c r="I80" s="30"/>
      <c r="J80" s="13"/>
      <c r="K80" s="83"/>
      <c r="L80" s="165"/>
      <c r="M80" s="166"/>
    </row>
    <row r="81" spans="1:13">
      <c r="A81" s="12"/>
      <c r="B81" s="30" t="s">
        <v>110</v>
      </c>
      <c r="C81" s="13">
        <f>'BILANS 2023'!D81</f>
        <v>0</v>
      </c>
      <c r="D81" s="484"/>
      <c r="E81" s="230">
        <f t="shared" si="4"/>
        <v>0</v>
      </c>
      <c r="F81" s="182" t="e">
        <f t="shared" si="5"/>
        <v>#DIV/0!</v>
      </c>
      <c r="G81" s="226"/>
      <c r="H81" s="70"/>
      <c r="I81" s="30"/>
      <c r="J81" s="13"/>
      <c r="K81" s="83"/>
      <c r="L81" s="165"/>
      <c r="M81" s="166"/>
    </row>
    <row r="82" spans="1:13">
      <c r="A82" s="12" t="s">
        <v>24</v>
      </c>
      <c r="B82" s="188" t="s">
        <v>74</v>
      </c>
      <c r="C82" s="13">
        <f>'BILANS 2023'!D82</f>
        <v>0</v>
      </c>
      <c r="D82" s="83">
        <f>SUM(D83:D86)</f>
        <v>0</v>
      </c>
      <c r="E82" s="230">
        <f t="shared" si="4"/>
        <v>0</v>
      </c>
      <c r="F82" s="182" t="e">
        <f t="shared" si="5"/>
        <v>#DIV/0!</v>
      </c>
      <c r="G82" s="226"/>
      <c r="H82" s="70"/>
      <c r="I82" s="30"/>
      <c r="J82" s="13"/>
      <c r="K82" s="83"/>
      <c r="L82" s="165"/>
      <c r="M82" s="166"/>
    </row>
    <row r="83" spans="1:13">
      <c r="A83" s="12"/>
      <c r="B83" s="188" t="s">
        <v>61</v>
      </c>
      <c r="C83" s="13">
        <f>'BILANS 2023'!D83</f>
        <v>0</v>
      </c>
      <c r="D83" s="484"/>
      <c r="E83" s="230">
        <f t="shared" si="4"/>
        <v>0</v>
      </c>
      <c r="F83" s="182" t="e">
        <f t="shared" si="5"/>
        <v>#DIV/0!</v>
      </c>
      <c r="G83" s="226"/>
      <c r="H83" s="70"/>
      <c r="I83" s="30"/>
      <c r="J83" s="13"/>
      <c r="K83" s="83"/>
      <c r="L83" s="165"/>
      <c r="M83" s="166"/>
    </row>
    <row r="84" spans="1:13">
      <c r="A84" s="12"/>
      <c r="B84" s="188" t="s">
        <v>63</v>
      </c>
      <c r="C84" s="13">
        <f>'BILANS 2023'!D84</f>
        <v>0</v>
      </c>
      <c r="D84" s="484"/>
      <c r="E84" s="230">
        <f t="shared" si="4"/>
        <v>0</v>
      </c>
      <c r="F84" s="182" t="e">
        <f t="shared" si="5"/>
        <v>#DIV/0!</v>
      </c>
      <c r="G84" s="226"/>
      <c r="H84" s="70"/>
      <c r="I84" s="30"/>
      <c r="J84" s="13"/>
      <c r="K84" s="83"/>
      <c r="L84" s="165"/>
      <c r="M84" s="166"/>
    </row>
    <row r="85" spans="1:13">
      <c r="A85" s="12"/>
      <c r="B85" s="188" t="s">
        <v>64</v>
      </c>
      <c r="C85" s="13">
        <f>'BILANS 2023'!D85</f>
        <v>0</v>
      </c>
      <c r="D85" s="484"/>
      <c r="E85" s="230">
        <f t="shared" si="4"/>
        <v>0</v>
      </c>
      <c r="F85" s="182" t="e">
        <f t="shared" si="5"/>
        <v>#DIV/0!</v>
      </c>
      <c r="G85" s="226"/>
      <c r="H85" s="70"/>
      <c r="I85" s="30"/>
      <c r="J85" s="13"/>
      <c r="K85" s="83"/>
      <c r="L85" s="165"/>
      <c r="M85" s="166"/>
    </row>
    <row r="86" spans="1:13">
      <c r="A86" s="12"/>
      <c r="B86" s="30" t="s">
        <v>110</v>
      </c>
      <c r="C86" s="13">
        <f>'BILANS 2023'!D86</f>
        <v>0</v>
      </c>
      <c r="D86" s="484"/>
      <c r="E86" s="230">
        <f t="shared" si="4"/>
        <v>0</v>
      </c>
      <c r="F86" s="182" t="e">
        <f t="shared" si="5"/>
        <v>#DIV/0!</v>
      </c>
      <c r="G86" s="226"/>
      <c r="H86" s="70"/>
      <c r="I86" s="30"/>
      <c r="J86" s="13"/>
      <c r="K86" s="83"/>
      <c r="L86" s="165"/>
      <c r="M86" s="166"/>
    </row>
    <row r="87" spans="1:13">
      <c r="A87" s="12" t="s">
        <v>27</v>
      </c>
      <c r="B87" s="30" t="s">
        <v>111</v>
      </c>
      <c r="C87" s="13">
        <f>'BILANS 2023'!D87</f>
        <v>49000000</v>
      </c>
      <c r="D87" s="83">
        <f>SUM(D88:D90)</f>
        <v>54000000</v>
      </c>
      <c r="E87" s="230">
        <f t="shared" si="4"/>
        <v>5000000</v>
      </c>
      <c r="F87" s="182">
        <f t="shared" si="5"/>
        <v>0.10204081632653061</v>
      </c>
      <c r="G87" s="226"/>
      <c r="H87" s="70"/>
      <c r="I87" s="30"/>
      <c r="J87" s="13"/>
      <c r="K87" s="83"/>
      <c r="L87" s="165"/>
      <c r="M87" s="166"/>
    </row>
    <row r="88" spans="1:13">
      <c r="A88" s="12"/>
      <c r="B88" s="30" t="s">
        <v>112</v>
      </c>
      <c r="C88" s="13">
        <f>'BILANS 2023'!D88</f>
        <v>36000000</v>
      </c>
      <c r="D88" s="484">
        <v>39000000</v>
      </c>
      <c r="E88" s="230">
        <f t="shared" si="4"/>
        <v>3000000</v>
      </c>
      <c r="F88" s="182">
        <f t="shared" si="5"/>
        <v>8.3333333333333329E-2</v>
      </c>
      <c r="G88" s="226"/>
      <c r="H88" s="70"/>
      <c r="I88" s="30"/>
      <c r="J88" s="13"/>
      <c r="K88" s="83"/>
      <c r="L88" s="165"/>
      <c r="M88" s="166"/>
    </row>
    <row r="89" spans="1:13">
      <c r="A89" s="12"/>
      <c r="B89" s="188" t="s">
        <v>113</v>
      </c>
      <c r="C89" s="13">
        <f>'BILANS 2023'!D89</f>
        <v>13000000</v>
      </c>
      <c r="D89" s="484">
        <v>15000000</v>
      </c>
      <c r="E89" s="230">
        <f t="shared" si="4"/>
        <v>2000000</v>
      </c>
      <c r="F89" s="182">
        <f t="shared" si="5"/>
        <v>0.15384615384615385</v>
      </c>
      <c r="G89" s="226"/>
      <c r="H89" s="70"/>
      <c r="I89" s="30"/>
      <c r="J89" s="13"/>
      <c r="K89" s="83"/>
      <c r="L89" s="165"/>
      <c r="M89" s="166"/>
    </row>
    <row r="90" spans="1:13">
      <c r="A90" s="12"/>
      <c r="B90" s="188" t="s">
        <v>114</v>
      </c>
      <c r="C90" s="13">
        <f>'BILANS 2023'!D90</f>
        <v>0</v>
      </c>
      <c r="D90" s="484"/>
      <c r="E90" s="230">
        <f t="shared" si="4"/>
        <v>0</v>
      </c>
      <c r="F90" s="182" t="e">
        <f t="shared" si="5"/>
        <v>#DIV/0!</v>
      </c>
      <c r="G90" s="226"/>
      <c r="H90" s="70"/>
      <c r="I90" s="30"/>
      <c r="J90" s="13"/>
      <c r="K90" s="83"/>
      <c r="L90" s="165"/>
      <c r="M90" s="166"/>
    </row>
    <row r="91" spans="1:13" ht="15.75" thickBot="1">
      <c r="A91" s="71">
        <v>2</v>
      </c>
      <c r="B91" s="187" t="s">
        <v>115</v>
      </c>
      <c r="C91" s="25">
        <f>'BILANS 2023'!D91</f>
        <v>0</v>
      </c>
      <c r="D91" s="490"/>
      <c r="E91" s="231">
        <f t="shared" si="4"/>
        <v>0</v>
      </c>
      <c r="F91" s="183" t="e">
        <f t="shared" si="5"/>
        <v>#DIV/0!</v>
      </c>
      <c r="G91" s="227"/>
      <c r="H91" s="30"/>
      <c r="I91" s="30"/>
      <c r="J91" s="13"/>
      <c r="K91" s="83"/>
      <c r="L91" s="165"/>
      <c r="M91" s="166"/>
    </row>
    <row r="92" spans="1:13" ht="15.75" thickBot="1">
      <c r="A92" s="8" t="s">
        <v>20</v>
      </c>
      <c r="B92" s="28" t="s">
        <v>116</v>
      </c>
      <c r="C92" s="72">
        <f>'BILANS 2023'!D92</f>
        <v>130000</v>
      </c>
      <c r="D92" s="500">
        <v>135000</v>
      </c>
      <c r="E92" s="123">
        <f t="shared" si="4"/>
        <v>5000</v>
      </c>
      <c r="F92" s="124">
        <f t="shared" si="5"/>
        <v>3.8461538461538464E-2</v>
      </c>
      <c r="G92" s="227"/>
      <c r="H92" s="30"/>
      <c r="I92" s="30"/>
      <c r="J92" s="13"/>
      <c r="K92" s="83"/>
      <c r="L92" s="165"/>
      <c r="M92" s="166"/>
    </row>
    <row r="93" spans="1:13" ht="15.75" thickBot="1">
      <c r="A93" s="8" t="s">
        <v>247</v>
      </c>
      <c r="B93" s="266" t="s">
        <v>248</v>
      </c>
      <c r="C93" s="72">
        <f>'BILANS 2023'!D93</f>
        <v>0</v>
      </c>
      <c r="D93" s="500"/>
      <c r="E93" s="123">
        <f t="shared" si="4"/>
        <v>0</v>
      </c>
      <c r="F93" s="124" t="e">
        <f t="shared" si="5"/>
        <v>#DIV/0!</v>
      </c>
      <c r="G93" s="227"/>
      <c r="H93" s="30"/>
      <c r="I93" s="30"/>
      <c r="J93" s="13"/>
      <c r="K93" s="83"/>
      <c r="L93" s="165"/>
      <c r="M93" s="166"/>
    </row>
    <row r="94" spans="1:13" ht="15.75" thickBot="1">
      <c r="A94" s="8" t="s">
        <v>249</v>
      </c>
      <c r="B94" s="266" t="s">
        <v>250</v>
      </c>
      <c r="C94" s="72">
        <f>'BILANS 2023'!D94</f>
        <v>0</v>
      </c>
      <c r="D94" s="500"/>
      <c r="E94" s="123">
        <f t="shared" si="4"/>
        <v>0</v>
      </c>
      <c r="F94" s="124" t="e">
        <f t="shared" si="5"/>
        <v>#DIV/0!</v>
      </c>
      <c r="G94" s="227"/>
      <c r="H94" s="30"/>
      <c r="I94" s="30"/>
      <c r="J94" s="13"/>
      <c r="K94" s="83"/>
      <c r="L94" s="165"/>
      <c r="M94" s="166"/>
    </row>
    <row r="95" spans="1:13" ht="30.75" thickBot="1">
      <c r="A95" s="152"/>
      <c r="B95" s="78" t="s">
        <v>304</v>
      </c>
      <c r="C95" s="79">
        <f>'BILANS 2023'!D95</f>
        <v>88204771.659999996</v>
      </c>
      <c r="D95" s="92">
        <f>D8+D50+D93+D94</f>
        <v>93488364.829999998</v>
      </c>
      <c r="E95" s="233">
        <f t="shared" si="4"/>
        <v>5283593.1700000018</v>
      </c>
      <c r="F95" s="197">
        <f t="shared" si="5"/>
        <v>5.9901443771845961E-2</v>
      </c>
      <c r="G95" s="227"/>
      <c r="H95" s="152"/>
      <c r="I95" s="78" t="s">
        <v>204</v>
      </c>
      <c r="J95" s="79">
        <f>'BILANS 2023'!K95</f>
        <v>88204771.659999996</v>
      </c>
      <c r="K95" s="92">
        <f>K8+K20</f>
        <v>93488364.829999998</v>
      </c>
      <c r="L95" s="121">
        <f t="shared" ref="L95" si="6">K95-J95</f>
        <v>5283593.1700000018</v>
      </c>
      <c r="M95" s="122">
        <f t="shared" ref="M95" si="7">L95/J95</f>
        <v>5.9901443771845961E-2</v>
      </c>
    </row>
    <row r="96" spans="1:13">
      <c r="A96" s="224"/>
      <c r="B96" s="1"/>
      <c r="C96" s="1"/>
      <c r="D96" s="1"/>
      <c r="E96" s="1"/>
      <c r="F96" s="1"/>
      <c r="G96" s="1"/>
      <c r="H96" s="152"/>
      <c r="I96" s="1"/>
      <c r="J96" s="41"/>
      <c r="K96" s="41"/>
    </row>
    <row r="97" spans="1:13" ht="73.5" customHeight="1">
      <c r="A97" s="152"/>
      <c r="B97" s="2"/>
      <c r="C97" s="2"/>
      <c r="D97" s="2"/>
      <c r="E97" s="2"/>
      <c r="F97" s="2"/>
      <c r="G97" s="2"/>
      <c r="H97" s="152"/>
      <c r="I97" s="2"/>
      <c r="J97" s="2"/>
      <c r="K97" s="2"/>
    </row>
    <row r="98" spans="1:13" ht="15" customHeight="1">
      <c r="B98" s="470" t="s">
        <v>118</v>
      </c>
      <c r="C98" s="470"/>
      <c r="D98" s="770" t="s">
        <v>118</v>
      </c>
      <c r="E98" s="770"/>
      <c r="F98" s="770"/>
      <c r="I98" s="470" t="s">
        <v>118</v>
      </c>
      <c r="J98" s="470"/>
      <c r="K98" s="770" t="s">
        <v>118</v>
      </c>
      <c r="L98" s="770"/>
      <c r="M98" s="770"/>
    </row>
    <row r="99" spans="1:13" ht="15" customHeight="1">
      <c r="A99" s="470"/>
      <c r="B99" s="470" t="s">
        <v>207</v>
      </c>
      <c r="C99" s="470"/>
      <c r="D99" s="770" t="s">
        <v>119</v>
      </c>
      <c r="E99" s="770"/>
      <c r="F99" s="770"/>
      <c r="G99" s="65"/>
      <c r="I99" s="470" t="s">
        <v>207</v>
      </c>
      <c r="J99" s="470"/>
      <c r="K99" s="770" t="s">
        <v>119</v>
      </c>
      <c r="L99" s="770"/>
      <c r="M99" s="770"/>
    </row>
    <row r="100" spans="1:13">
      <c r="B100" s="2"/>
      <c r="C100" s="2"/>
      <c r="D100" s="2"/>
      <c r="E100" s="2"/>
      <c r="F100" s="2"/>
      <c r="G100" s="2"/>
      <c r="H100" s="152"/>
      <c r="I100" s="2"/>
      <c r="J100" s="2"/>
      <c r="K100" s="2"/>
    </row>
    <row r="101" spans="1:13">
      <c r="B101" s="470"/>
      <c r="C101" s="470"/>
      <c r="I101" s="770"/>
      <c r="J101" s="770"/>
      <c r="K101" s="770"/>
    </row>
    <row r="102" spans="1:13">
      <c r="B102" s="470"/>
      <c r="C102" s="470"/>
      <c r="D102" s="65"/>
      <c r="E102" s="65"/>
      <c r="F102" s="65"/>
      <c r="G102" s="65"/>
      <c r="I102" s="770"/>
      <c r="J102" s="770"/>
      <c r="K102" s="770"/>
    </row>
  </sheetData>
  <sheetProtection algorithmName="SHA-512" hashValue="WWZTPsrwowtKxbcADN6IiDVy16tXyCXch/Rfpt/RuHqtiZNxRf9r9dsKdoszG+qeXOEdIK98/1O62I0l1OUo9g==" saltValue="lQYXiKi6DWB8EPiK9Pvdcg==" spinCount="100000" sheet="1" formatCells="0" formatColumns="0" formatRows="0"/>
  <mergeCells count="18">
    <mergeCell ref="I101:K101"/>
    <mergeCell ref="I102:K102"/>
    <mergeCell ref="J4:K4"/>
    <mergeCell ref="C4:D4"/>
    <mergeCell ref="D98:F98"/>
    <mergeCell ref="K98:M98"/>
    <mergeCell ref="L6:L7"/>
    <mergeCell ref="M6:M7"/>
    <mergeCell ref="D99:F99"/>
    <mergeCell ref="K99:M99"/>
    <mergeCell ref="H6:H7"/>
    <mergeCell ref="I6:I7"/>
    <mergeCell ref="J6:K6"/>
    <mergeCell ref="A6:A7"/>
    <mergeCell ref="B6:B7"/>
    <mergeCell ref="C6:D6"/>
    <mergeCell ref="E6:E7"/>
    <mergeCell ref="F6:F7"/>
  </mergeCells>
  <pageMargins left="0.73" right="0.23622047244094491" top="0.74803149606299213" bottom="0.74803149606299213" header="0.31496062992125984" footer="0.31496062992125984"/>
  <pageSetup paperSize="9" scale="80" fitToHeight="0" orientation="portrait" r:id="rId1"/>
  <rowBreaks count="1" manualBreakCount="1">
    <brk id="49" max="12" man="1"/>
  </rowBreaks>
  <colBreaks count="1" manualBreakCount="1">
    <brk id="7" max="10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63"/>
  <sheetViews>
    <sheetView view="pageBreakPreview" zoomScaleNormal="120" zoomScaleSheetLayoutView="100" workbookViewId="0">
      <pane xSplit="2" ySplit="8" topLeftCell="C30" activePane="bottomRight" state="frozen"/>
      <selection activeCell="C32" sqref="C32"/>
      <selection pane="topRight" activeCell="C32" sqref="C32"/>
      <selection pane="bottomLeft" activeCell="C32" sqref="C32"/>
      <selection pane="bottomRight" activeCell="E1" sqref="E1"/>
    </sheetView>
  </sheetViews>
  <sheetFormatPr defaultRowHeight="15"/>
  <cols>
    <col min="1" max="1" width="7.28515625" bestFit="1" customWidth="1"/>
    <col min="2" max="2" width="54.140625" customWidth="1"/>
    <col min="3" max="3" width="17.42578125" customWidth="1"/>
    <col min="4" max="4" width="16" customWidth="1"/>
    <col min="5" max="5" width="15.7109375" customWidth="1"/>
    <col min="6" max="6" width="12.140625" customWidth="1"/>
  </cols>
  <sheetData>
    <row r="1" spans="1:6" s="518" customFormat="1">
      <c r="A1" s="536"/>
      <c r="B1" s="534"/>
      <c r="C1" s="534"/>
      <c r="D1" s="534"/>
      <c r="E1" s="518" t="s">
        <v>339</v>
      </c>
    </row>
    <row r="2" spans="1:6" s="518" customFormat="1">
      <c r="A2" s="701" t="s">
        <v>0</v>
      </c>
      <c r="B2" s="701"/>
      <c r="C2" s="534"/>
      <c r="D2" s="534"/>
    </row>
    <row r="3" spans="1:6" ht="15.75" thickBot="1">
      <c r="A3" s="702" t="s">
        <v>120</v>
      </c>
      <c r="B3" s="702"/>
      <c r="C3" s="687" t="s">
        <v>205</v>
      </c>
      <c r="D3" s="687"/>
    </row>
    <row r="4" spans="1:6" ht="15" customHeight="1">
      <c r="A4" s="703" t="s">
        <v>308</v>
      </c>
      <c r="B4" s="703"/>
      <c r="C4" s="703"/>
      <c r="D4" s="703"/>
      <c r="E4" s="703"/>
      <c r="F4" s="703"/>
    </row>
    <row r="5" spans="1:6" ht="15.75" thickBot="1">
      <c r="A5" s="43"/>
      <c r="B5" s="42"/>
      <c r="C5" s="42"/>
      <c r="D5" s="44"/>
    </row>
    <row r="6" spans="1:6">
      <c r="A6" s="691" t="s">
        <v>121</v>
      </c>
      <c r="B6" s="698" t="s">
        <v>122</v>
      </c>
      <c r="C6" s="693" t="s">
        <v>123</v>
      </c>
      <c r="D6" s="695"/>
      <c r="E6" s="693" t="s">
        <v>208</v>
      </c>
      <c r="F6" s="695" t="s">
        <v>209</v>
      </c>
    </row>
    <row r="7" spans="1:6" ht="15.75" thickBot="1">
      <c r="A7" s="697"/>
      <c r="B7" s="704"/>
      <c r="C7" s="153" t="str">
        <f ca="1">'RZiS 2023'!D7</f>
        <v>2023</v>
      </c>
      <c r="D7" s="592" t="str">
        <f ca="1">RIGHT(CELL("nazwa_pliku",A1),4)</f>
        <v>2024</v>
      </c>
      <c r="E7" s="694"/>
      <c r="F7" s="696"/>
    </row>
    <row r="8" spans="1:6" ht="29.25" customHeight="1" thickBot="1">
      <c r="A8" s="45" t="s">
        <v>5</v>
      </c>
      <c r="B8" s="243" t="s">
        <v>124</v>
      </c>
      <c r="C8" s="257">
        <f>'RZiS 2023'!D8</f>
        <v>261654000</v>
      </c>
      <c r="D8" s="46">
        <f>D10+D11+D12+D13</f>
        <v>277324000</v>
      </c>
      <c r="E8" s="114">
        <f>D8-C8</f>
        <v>15670000</v>
      </c>
      <c r="F8" s="115">
        <f>E8/C8</f>
        <v>5.9888249367485304E-2</v>
      </c>
    </row>
    <row r="9" spans="1:6">
      <c r="A9" s="47"/>
      <c r="B9" s="244" t="s">
        <v>125</v>
      </c>
      <c r="C9" s="258">
        <f>'RZiS 2023'!D9</f>
        <v>0</v>
      </c>
      <c r="D9" s="520"/>
      <c r="E9" s="240">
        <f t="shared" ref="E9:E58" si="0">D9-C9</f>
        <v>0</v>
      </c>
      <c r="F9" s="237" t="e">
        <f t="shared" ref="F9:F58" si="1">E9/C9</f>
        <v>#DIV/0!</v>
      </c>
    </row>
    <row r="10" spans="1:6">
      <c r="A10" s="49" t="s">
        <v>8</v>
      </c>
      <c r="B10" s="245" t="s">
        <v>126</v>
      </c>
      <c r="C10" s="259">
        <f>'RZiS 2023'!D10</f>
        <v>257654000</v>
      </c>
      <c r="D10" s="522">
        <v>273124000</v>
      </c>
      <c r="E10" s="238">
        <f t="shared" si="0"/>
        <v>15470000</v>
      </c>
      <c r="F10" s="235">
        <f t="shared" si="1"/>
        <v>6.004176143199795E-2</v>
      </c>
    </row>
    <row r="11" spans="1:6" ht="46.5" customHeight="1">
      <c r="A11" s="51" t="s">
        <v>11</v>
      </c>
      <c r="B11" s="246" t="s">
        <v>127</v>
      </c>
      <c r="C11" s="260">
        <f>'RZiS 2023'!D11</f>
        <v>0</v>
      </c>
      <c r="D11" s="524"/>
      <c r="E11" s="238">
        <f t="shared" si="0"/>
        <v>0</v>
      </c>
      <c r="F11" s="235" t="e">
        <f t="shared" si="1"/>
        <v>#DIV/0!</v>
      </c>
    </row>
    <row r="12" spans="1:6" ht="30">
      <c r="A12" s="51" t="s">
        <v>16</v>
      </c>
      <c r="B12" s="246" t="s">
        <v>128</v>
      </c>
      <c r="C12" s="260">
        <f>'RZiS 2023'!D12</f>
        <v>0</v>
      </c>
      <c r="D12" s="524"/>
      <c r="E12" s="238">
        <f t="shared" si="0"/>
        <v>0</v>
      </c>
      <c r="F12" s="235" t="e">
        <f t="shared" si="1"/>
        <v>#DIV/0!</v>
      </c>
    </row>
    <row r="13" spans="1:6" ht="15.75" thickBot="1">
      <c r="A13" s="53" t="s">
        <v>20</v>
      </c>
      <c r="B13" s="247" t="s">
        <v>129</v>
      </c>
      <c r="C13" s="261">
        <f>'RZiS 2023'!D13</f>
        <v>4000000</v>
      </c>
      <c r="D13" s="526">
        <v>4200000</v>
      </c>
      <c r="E13" s="239">
        <f t="shared" si="0"/>
        <v>200000</v>
      </c>
      <c r="F13" s="236">
        <f t="shared" si="1"/>
        <v>0.05</v>
      </c>
    </row>
    <row r="14" spans="1:6" ht="31.5" customHeight="1" thickBot="1">
      <c r="A14" s="55" t="s">
        <v>41</v>
      </c>
      <c r="B14" s="248" t="s">
        <v>130</v>
      </c>
      <c r="C14" s="262">
        <f>'RZiS 2023'!D14</f>
        <v>260250000</v>
      </c>
      <c r="D14" s="56">
        <f>D15+D16+D17+D18+D20+D21+D23+D24</f>
        <v>274400000</v>
      </c>
      <c r="E14" s="114">
        <f t="shared" si="0"/>
        <v>14150000</v>
      </c>
      <c r="F14" s="115">
        <f t="shared" si="1"/>
        <v>5.4370797310278579E-2</v>
      </c>
    </row>
    <row r="15" spans="1:6">
      <c r="A15" s="57" t="s">
        <v>8</v>
      </c>
      <c r="B15" s="249" t="s">
        <v>131</v>
      </c>
      <c r="C15" s="263">
        <f>'RZiS 2023'!D15</f>
        <v>5000000</v>
      </c>
      <c r="D15" s="528">
        <v>5500000</v>
      </c>
      <c r="E15" s="240">
        <f t="shared" si="0"/>
        <v>500000</v>
      </c>
      <c r="F15" s="237">
        <f t="shared" si="1"/>
        <v>0.1</v>
      </c>
    </row>
    <row r="16" spans="1:6">
      <c r="A16" s="51" t="s">
        <v>11</v>
      </c>
      <c r="B16" s="250" t="s">
        <v>132</v>
      </c>
      <c r="C16" s="260">
        <f>'RZiS 2023'!D16</f>
        <v>11000000</v>
      </c>
      <c r="D16" s="524">
        <v>13000000</v>
      </c>
      <c r="E16" s="238">
        <f t="shared" si="0"/>
        <v>2000000</v>
      </c>
      <c r="F16" s="235">
        <f t="shared" si="1"/>
        <v>0.18181818181818182</v>
      </c>
    </row>
    <row r="17" spans="1:8">
      <c r="A17" s="51" t="s">
        <v>16</v>
      </c>
      <c r="B17" s="250" t="s">
        <v>133</v>
      </c>
      <c r="C17" s="260">
        <f>'RZiS 2023'!D17</f>
        <v>112000000</v>
      </c>
      <c r="D17" s="524">
        <v>118000000</v>
      </c>
      <c r="E17" s="238">
        <f t="shared" si="0"/>
        <v>6000000</v>
      </c>
      <c r="F17" s="235">
        <f t="shared" si="1"/>
        <v>5.3571428571428568E-2</v>
      </c>
    </row>
    <row r="18" spans="1:8">
      <c r="A18" s="51" t="s">
        <v>20</v>
      </c>
      <c r="B18" s="250" t="s">
        <v>134</v>
      </c>
      <c r="C18" s="260">
        <f>'RZiS 2023'!D18</f>
        <v>950000</v>
      </c>
      <c r="D18" s="524">
        <v>1000000</v>
      </c>
      <c r="E18" s="238">
        <f t="shared" si="0"/>
        <v>50000</v>
      </c>
      <c r="F18" s="235">
        <f t="shared" si="1"/>
        <v>5.2631578947368418E-2</v>
      </c>
    </row>
    <row r="19" spans="1:8">
      <c r="A19" s="51"/>
      <c r="B19" s="250" t="s">
        <v>135</v>
      </c>
      <c r="C19" s="260">
        <f>'RZiS 2023'!D19</f>
        <v>0</v>
      </c>
      <c r="D19" s="524">
        <v>0</v>
      </c>
      <c r="E19" s="238">
        <f t="shared" si="0"/>
        <v>0</v>
      </c>
      <c r="F19" s="235" t="e">
        <f t="shared" si="1"/>
        <v>#DIV/0!</v>
      </c>
    </row>
    <row r="20" spans="1:8" ht="15.75" thickBot="1">
      <c r="A20" s="51" t="s">
        <v>80</v>
      </c>
      <c r="B20" s="250" t="s">
        <v>136</v>
      </c>
      <c r="C20" s="260">
        <f>'RZiS 2023'!D20</f>
        <v>102000000</v>
      </c>
      <c r="D20" s="524">
        <v>106000000</v>
      </c>
      <c r="E20" s="238">
        <f t="shared" si="0"/>
        <v>4000000</v>
      </c>
      <c r="F20" s="235">
        <f t="shared" si="1"/>
        <v>3.9215686274509803E-2</v>
      </c>
    </row>
    <row r="21" spans="1:8" ht="15.75" thickBot="1">
      <c r="A21" s="51" t="s">
        <v>33</v>
      </c>
      <c r="B21" s="246" t="s">
        <v>137</v>
      </c>
      <c r="C21" s="260">
        <f>'RZiS 2023'!D21</f>
        <v>22000000</v>
      </c>
      <c r="D21" s="524">
        <v>23000000</v>
      </c>
      <c r="E21" s="238">
        <f t="shared" si="0"/>
        <v>1000000</v>
      </c>
      <c r="F21" s="235">
        <f t="shared" si="1"/>
        <v>4.5454545454545456E-2</v>
      </c>
      <c r="H21" s="113"/>
    </row>
    <row r="22" spans="1:8">
      <c r="A22" s="51"/>
      <c r="B22" s="250" t="s">
        <v>138</v>
      </c>
      <c r="C22" s="260">
        <f>'RZiS 2023'!D22</f>
        <v>9000000</v>
      </c>
      <c r="D22" s="524">
        <v>10500000</v>
      </c>
      <c r="E22" s="238">
        <f t="shared" si="0"/>
        <v>1500000</v>
      </c>
      <c r="F22" s="235">
        <f t="shared" si="1"/>
        <v>0.16666666666666666</v>
      </c>
    </row>
    <row r="23" spans="1:8">
      <c r="A23" s="51" t="s">
        <v>37</v>
      </c>
      <c r="B23" s="250" t="s">
        <v>139</v>
      </c>
      <c r="C23" s="260">
        <f>'RZiS 2023'!D23</f>
        <v>3500000</v>
      </c>
      <c r="D23" s="524">
        <v>3900000</v>
      </c>
      <c r="E23" s="238">
        <f t="shared" si="0"/>
        <v>400000</v>
      </c>
      <c r="F23" s="235">
        <f t="shared" si="1"/>
        <v>0.11428571428571428</v>
      </c>
    </row>
    <row r="24" spans="1:8" ht="15.75" thickBot="1">
      <c r="A24" s="53" t="s">
        <v>140</v>
      </c>
      <c r="B24" s="251" t="s">
        <v>141</v>
      </c>
      <c r="C24" s="261">
        <f>'RZiS 2023'!D24</f>
        <v>3800000</v>
      </c>
      <c r="D24" s="526">
        <v>4000000</v>
      </c>
      <c r="E24" s="239">
        <f t="shared" si="0"/>
        <v>200000</v>
      </c>
      <c r="F24" s="236">
        <f t="shared" si="1"/>
        <v>5.2631578947368418E-2</v>
      </c>
    </row>
    <row r="25" spans="1:8" ht="28.5" customHeight="1" thickBot="1">
      <c r="A25" s="55" t="s">
        <v>142</v>
      </c>
      <c r="B25" s="248" t="s">
        <v>143</v>
      </c>
      <c r="C25" s="262">
        <f>'RZiS 2023'!D25</f>
        <v>1404000</v>
      </c>
      <c r="D25" s="56">
        <f>D8-D14</f>
        <v>2924000</v>
      </c>
      <c r="E25" s="114">
        <f t="shared" si="0"/>
        <v>1520000</v>
      </c>
      <c r="F25" s="115">
        <f t="shared" si="1"/>
        <v>1.0826210826210827</v>
      </c>
    </row>
    <row r="26" spans="1:8" ht="15.75" thickBot="1">
      <c r="A26" s="55" t="s">
        <v>144</v>
      </c>
      <c r="B26" s="248" t="s">
        <v>145</v>
      </c>
      <c r="C26" s="262">
        <f>'RZiS 2023'!D26</f>
        <v>5790000</v>
      </c>
      <c r="D26" s="56">
        <f>D27+D28+D29+D30</f>
        <v>4800000</v>
      </c>
      <c r="E26" s="241">
        <f t="shared" si="0"/>
        <v>-990000</v>
      </c>
      <c r="F26" s="242">
        <f t="shared" si="1"/>
        <v>-0.17098445595854922</v>
      </c>
    </row>
    <row r="27" spans="1:8">
      <c r="A27" s="57" t="s">
        <v>8</v>
      </c>
      <c r="B27" s="252" t="s">
        <v>174</v>
      </c>
      <c r="C27" s="263">
        <f>'RZiS 2023'!D27</f>
        <v>0</v>
      </c>
      <c r="D27" s="528"/>
      <c r="E27" s="240">
        <f t="shared" si="0"/>
        <v>0</v>
      </c>
      <c r="F27" s="237" t="e">
        <f t="shared" si="1"/>
        <v>#DIV/0!</v>
      </c>
    </row>
    <row r="28" spans="1:8">
      <c r="A28" s="51" t="s">
        <v>11</v>
      </c>
      <c r="B28" s="250" t="s">
        <v>146</v>
      </c>
      <c r="C28" s="260">
        <f>'RZiS 2023'!D28</f>
        <v>795000</v>
      </c>
      <c r="D28" s="524">
        <v>500000</v>
      </c>
      <c r="E28" s="238">
        <f t="shared" si="0"/>
        <v>-295000</v>
      </c>
      <c r="F28" s="235">
        <f t="shared" si="1"/>
        <v>-0.37106918238993708</v>
      </c>
    </row>
    <row r="29" spans="1:8">
      <c r="A29" s="53" t="s">
        <v>16</v>
      </c>
      <c r="B29" s="247" t="s">
        <v>147</v>
      </c>
      <c r="C29" s="261">
        <f>'RZiS 2023'!D29</f>
        <v>0</v>
      </c>
      <c r="D29" s="526"/>
      <c r="E29" s="238">
        <f t="shared" si="0"/>
        <v>0</v>
      </c>
      <c r="F29" s="235" t="e">
        <f t="shared" si="1"/>
        <v>#DIV/0!</v>
      </c>
    </row>
    <row r="30" spans="1:8" ht="15.75" thickBot="1">
      <c r="A30" s="53" t="s">
        <v>20</v>
      </c>
      <c r="B30" s="251" t="s">
        <v>148</v>
      </c>
      <c r="C30" s="261">
        <f>'RZiS 2023'!D30</f>
        <v>4995000</v>
      </c>
      <c r="D30" s="526">
        <v>4300000</v>
      </c>
      <c r="E30" s="239">
        <f t="shared" si="0"/>
        <v>-695000</v>
      </c>
      <c r="F30" s="236">
        <f t="shared" si="1"/>
        <v>-0.13913913913913914</v>
      </c>
    </row>
    <row r="31" spans="1:8" ht="30" customHeight="1" thickBot="1">
      <c r="A31" s="55" t="s">
        <v>149</v>
      </c>
      <c r="B31" s="248" t="s">
        <v>150</v>
      </c>
      <c r="C31" s="262">
        <f>'RZiS 2023'!D31</f>
        <v>2020000</v>
      </c>
      <c r="D31" s="56">
        <f>D32+D33+D34</f>
        <v>2100000</v>
      </c>
      <c r="E31" s="114">
        <f t="shared" si="0"/>
        <v>80000</v>
      </c>
      <c r="F31" s="115">
        <f t="shared" si="1"/>
        <v>3.9603960396039604E-2</v>
      </c>
    </row>
    <row r="32" spans="1:8">
      <c r="A32" s="57" t="s">
        <v>8</v>
      </c>
      <c r="B32" s="252" t="s">
        <v>175</v>
      </c>
      <c r="C32" s="263">
        <f>'RZiS 2023'!D32</f>
        <v>0</v>
      </c>
      <c r="D32" s="528"/>
      <c r="E32" s="240">
        <f t="shared" si="0"/>
        <v>0</v>
      </c>
      <c r="F32" s="237" t="e">
        <f t="shared" si="1"/>
        <v>#DIV/0!</v>
      </c>
    </row>
    <row r="33" spans="1:6">
      <c r="A33" s="51" t="s">
        <v>11</v>
      </c>
      <c r="B33" s="246" t="s">
        <v>147</v>
      </c>
      <c r="C33" s="260">
        <f>'RZiS 2023'!D33</f>
        <v>200000</v>
      </c>
      <c r="D33" s="524">
        <v>200000</v>
      </c>
      <c r="E33" s="238">
        <f t="shared" si="0"/>
        <v>0</v>
      </c>
      <c r="F33" s="235">
        <f t="shared" si="1"/>
        <v>0</v>
      </c>
    </row>
    <row r="34" spans="1:6" ht="15.75" thickBot="1">
      <c r="A34" s="53" t="s">
        <v>16</v>
      </c>
      <c r="B34" s="251" t="s">
        <v>151</v>
      </c>
      <c r="C34" s="261">
        <f>'RZiS 2023'!D34</f>
        <v>1820000</v>
      </c>
      <c r="D34" s="526">
        <v>1900000</v>
      </c>
      <c r="E34" s="239">
        <f t="shared" si="0"/>
        <v>80000</v>
      </c>
      <c r="F34" s="236">
        <f t="shared" si="1"/>
        <v>4.3956043956043959E-2</v>
      </c>
    </row>
    <row r="35" spans="1:6" ht="32.25" customHeight="1" thickBot="1">
      <c r="A35" s="55" t="s">
        <v>152</v>
      </c>
      <c r="B35" s="248" t="s">
        <v>153</v>
      </c>
      <c r="C35" s="262">
        <f>'RZiS 2023'!D35</f>
        <v>5174000</v>
      </c>
      <c r="D35" s="56">
        <f>D25+D26-D31</f>
        <v>5624000</v>
      </c>
      <c r="E35" s="114">
        <f t="shared" si="0"/>
        <v>450000</v>
      </c>
      <c r="F35" s="115">
        <f t="shared" si="1"/>
        <v>8.6973328179358336E-2</v>
      </c>
    </row>
    <row r="36" spans="1:6" ht="28.5" customHeight="1" thickBot="1">
      <c r="A36" s="59" t="s">
        <v>154</v>
      </c>
      <c r="B36" s="253" t="s">
        <v>155</v>
      </c>
      <c r="C36" s="264">
        <f>'RZiS 2023'!D36</f>
        <v>610000</v>
      </c>
      <c r="D36" s="60">
        <f>D37+D42+D44+D46+D47</f>
        <v>510000</v>
      </c>
      <c r="E36" s="241">
        <f t="shared" si="0"/>
        <v>-100000</v>
      </c>
      <c r="F36" s="242">
        <f t="shared" si="1"/>
        <v>-0.16393442622950818</v>
      </c>
    </row>
    <row r="37" spans="1:6">
      <c r="A37" s="57" t="s">
        <v>8</v>
      </c>
      <c r="B37" s="249" t="s">
        <v>156</v>
      </c>
      <c r="C37" s="263">
        <f>'RZiS 2023'!D37</f>
        <v>0</v>
      </c>
      <c r="D37" s="58">
        <f>D38+D40</f>
        <v>0</v>
      </c>
      <c r="E37" s="240">
        <f t="shared" si="0"/>
        <v>0</v>
      </c>
      <c r="F37" s="237" t="e">
        <f t="shared" si="1"/>
        <v>#DIV/0!</v>
      </c>
    </row>
    <row r="38" spans="1:6">
      <c r="A38" s="51"/>
      <c r="B38" s="250" t="s">
        <v>176</v>
      </c>
      <c r="C38" s="260">
        <f>'RZiS 2023'!D38</f>
        <v>0</v>
      </c>
      <c r="D38" s="524"/>
      <c r="E38" s="238">
        <f t="shared" si="0"/>
        <v>0</v>
      </c>
      <c r="F38" s="235" t="e">
        <f t="shared" si="1"/>
        <v>#DIV/0!</v>
      </c>
    </row>
    <row r="39" spans="1:6" ht="30">
      <c r="A39" s="51"/>
      <c r="B39" s="246" t="s">
        <v>157</v>
      </c>
      <c r="C39" s="260">
        <f>'RZiS 2023'!D39</f>
        <v>0</v>
      </c>
      <c r="D39" s="524"/>
      <c r="E39" s="238">
        <f t="shared" si="0"/>
        <v>0</v>
      </c>
      <c r="F39" s="235" t="e">
        <f t="shared" si="1"/>
        <v>#DIV/0!</v>
      </c>
    </row>
    <row r="40" spans="1:6">
      <c r="A40" s="51"/>
      <c r="B40" s="250" t="s">
        <v>158</v>
      </c>
      <c r="C40" s="260">
        <f>'RZiS 2023'!D40</f>
        <v>0</v>
      </c>
      <c r="D40" s="524"/>
      <c r="E40" s="238">
        <f t="shared" si="0"/>
        <v>0</v>
      </c>
      <c r="F40" s="235" t="e">
        <f t="shared" si="1"/>
        <v>#DIV/0!</v>
      </c>
    </row>
    <row r="41" spans="1:6" ht="30">
      <c r="A41" s="51"/>
      <c r="B41" s="246" t="s">
        <v>157</v>
      </c>
      <c r="C41" s="260">
        <f>'RZiS 2023'!D41</f>
        <v>0</v>
      </c>
      <c r="D41" s="524"/>
      <c r="E41" s="238">
        <f t="shared" si="0"/>
        <v>0</v>
      </c>
      <c r="F41" s="235" t="e">
        <f t="shared" si="1"/>
        <v>#DIV/0!</v>
      </c>
    </row>
    <row r="42" spans="1:6">
      <c r="A42" s="51" t="s">
        <v>11</v>
      </c>
      <c r="B42" s="250" t="s">
        <v>159</v>
      </c>
      <c r="C42" s="260">
        <f>'RZiS 2023'!D42</f>
        <v>600000</v>
      </c>
      <c r="D42" s="524">
        <v>500000</v>
      </c>
      <c r="E42" s="238">
        <f t="shared" si="0"/>
        <v>-100000</v>
      </c>
      <c r="F42" s="235">
        <f t="shared" si="1"/>
        <v>-0.16666666666666666</v>
      </c>
    </row>
    <row r="43" spans="1:6">
      <c r="A43" s="51"/>
      <c r="B43" s="250" t="s">
        <v>125</v>
      </c>
      <c r="C43" s="260">
        <f>'RZiS 2023'!D43</f>
        <v>0</v>
      </c>
      <c r="D43" s="524"/>
      <c r="E43" s="238">
        <f t="shared" si="0"/>
        <v>0</v>
      </c>
      <c r="F43" s="235" t="e">
        <f t="shared" si="1"/>
        <v>#DIV/0!</v>
      </c>
    </row>
    <row r="44" spans="1:6">
      <c r="A44" s="51" t="s">
        <v>16</v>
      </c>
      <c r="B44" s="250" t="s">
        <v>177</v>
      </c>
      <c r="C44" s="260">
        <f>'RZiS 2023'!D44</f>
        <v>0</v>
      </c>
      <c r="D44" s="524"/>
      <c r="E44" s="238">
        <f t="shared" si="0"/>
        <v>0</v>
      </c>
      <c r="F44" s="235" t="e">
        <f t="shared" si="1"/>
        <v>#DIV/0!</v>
      </c>
    </row>
    <row r="45" spans="1:6">
      <c r="A45" s="51"/>
      <c r="B45" s="250" t="s">
        <v>125</v>
      </c>
      <c r="C45" s="260">
        <f>'RZiS 2023'!D45</f>
        <v>0</v>
      </c>
      <c r="D45" s="524"/>
      <c r="E45" s="238">
        <f t="shared" si="0"/>
        <v>0</v>
      </c>
      <c r="F45" s="235" t="e">
        <f t="shared" si="1"/>
        <v>#DIV/0!</v>
      </c>
    </row>
    <row r="46" spans="1:6">
      <c r="A46" s="51" t="s">
        <v>20</v>
      </c>
      <c r="B46" s="250" t="s">
        <v>178</v>
      </c>
      <c r="C46" s="260">
        <f>'RZiS 2023'!D46</f>
        <v>0</v>
      </c>
      <c r="D46" s="524"/>
      <c r="E46" s="238">
        <f t="shared" si="0"/>
        <v>0</v>
      </c>
      <c r="F46" s="235" t="e">
        <f t="shared" si="1"/>
        <v>#DIV/0!</v>
      </c>
    </row>
    <row r="47" spans="1:6" ht="15.75" thickBot="1">
      <c r="A47" s="53" t="s">
        <v>80</v>
      </c>
      <c r="B47" s="251" t="s">
        <v>160</v>
      </c>
      <c r="C47" s="261">
        <f>'RZiS 2023'!D47</f>
        <v>10000</v>
      </c>
      <c r="D47" s="526">
        <v>10000</v>
      </c>
      <c r="E47" s="239">
        <f t="shared" si="0"/>
        <v>0</v>
      </c>
      <c r="F47" s="236">
        <f t="shared" si="1"/>
        <v>0</v>
      </c>
    </row>
    <row r="48" spans="1:6" ht="25.5" customHeight="1" thickBot="1">
      <c r="A48" s="55" t="s">
        <v>161</v>
      </c>
      <c r="B48" s="248" t="s">
        <v>162</v>
      </c>
      <c r="C48" s="262">
        <f>'RZiS 2023'!D48</f>
        <v>120000</v>
      </c>
      <c r="D48" s="56">
        <f>D49+D51+D53+D54</f>
        <v>70000</v>
      </c>
      <c r="E48" s="114">
        <f t="shared" si="0"/>
        <v>-50000</v>
      </c>
      <c r="F48" s="115">
        <f t="shared" si="1"/>
        <v>-0.41666666666666669</v>
      </c>
    </row>
    <row r="49" spans="1:6">
      <c r="A49" s="57" t="s">
        <v>8</v>
      </c>
      <c r="B49" s="249" t="s">
        <v>159</v>
      </c>
      <c r="C49" s="263">
        <f>'RZiS 2023'!D49</f>
        <v>50000</v>
      </c>
      <c r="D49" s="528">
        <v>50000</v>
      </c>
      <c r="E49" s="240">
        <f t="shared" si="0"/>
        <v>0</v>
      </c>
      <c r="F49" s="237">
        <f t="shared" si="1"/>
        <v>0</v>
      </c>
    </row>
    <row r="50" spans="1:6">
      <c r="A50" s="51"/>
      <c r="B50" s="250" t="s">
        <v>163</v>
      </c>
      <c r="C50" s="260">
        <f>'RZiS 2023'!D50</f>
        <v>0</v>
      </c>
      <c r="D50" s="524"/>
      <c r="E50" s="238">
        <f t="shared" si="0"/>
        <v>0</v>
      </c>
      <c r="F50" s="235" t="e">
        <f t="shared" si="1"/>
        <v>#DIV/0!</v>
      </c>
    </row>
    <row r="51" spans="1:6">
      <c r="A51" s="51" t="s">
        <v>11</v>
      </c>
      <c r="B51" s="250" t="s">
        <v>179</v>
      </c>
      <c r="C51" s="260">
        <f>'RZiS 2023'!D51</f>
        <v>0</v>
      </c>
      <c r="D51" s="524"/>
      <c r="E51" s="238">
        <f t="shared" si="0"/>
        <v>0</v>
      </c>
      <c r="F51" s="235" t="e">
        <f t="shared" si="1"/>
        <v>#DIV/0!</v>
      </c>
    </row>
    <row r="52" spans="1:6">
      <c r="A52" s="51"/>
      <c r="B52" s="250" t="s">
        <v>125</v>
      </c>
      <c r="C52" s="260">
        <f>'RZiS 2023'!D52</f>
        <v>0</v>
      </c>
      <c r="D52" s="524"/>
      <c r="E52" s="238">
        <f t="shared" si="0"/>
        <v>0</v>
      </c>
      <c r="F52" s="235" t="e">
        <f t="shared" si="1"/>
        <v>#DIV/0!</v>
      </c>
    </row>
    <row r="53" spans="1:6">
      <c r="A53" s="51" t="s">
        <v>16</v>
      </c>
      <c r="B53" s="250" t="s">
        <v>178</v>
      </c>
      <c r="C53" s="260">
        <f>'RZiS 2023'!D53</f>
        <v>0</v>
      </c>
      <c r="D53" s="524"/>
      <c r="E53" s="238">
        <f t="shared" si="0"/>
        <v>0</v>
      </c>
      <c r="F53" s="235" t="e">
        <f t="shared" si="1"/>
        <v>#DIV/0!</v>
      </c>
    </row>
    <row r="54" spans="1:6" ht="15.75" thickBot="1">
      <c r="A54" s="61" t="s">
        <v>20</v>
      </c>
      <c r="B54" s="254" t="s">
        <v>160</v>
      </c>
      <c r="C54" s="265">
        <f>'RZiS 2023'!D54</f>
        <v>70000</v>
      </c>
      <c r="D54" s="530">
        <v>20000</v>
      </c>
      <c r="E54" s="239">
        <f t="shared" si="0"/>
        <v>-50000</v>
      </c>
      <c r="F54" s="236">
        <f t="shared" si="1"/>
        <v>-0.7142857142857143</v>
      </c>
    </row>
    <row r="55" spans="1:6" ht="28.5" customHeight="1" thickBot="1">
      <c r="A55" s="45" t="s">
        <v>8</v>
      </c>
      <c r="B55" s="243" t="s">
        <v>164</v>
      </c>
      <c r="C55" s="257">
        <f>'RZiS 2023'!D55</f>
        <v>5664000</v>
      </c>
      <c r="D55" s="46">
        <f>D35+D36-D48</f>
        <v>6064000</v>
      </c>
      <c r="E55" s="114">
        <f t="shared" si="0"/>
        <v>400000</v>
      </c>
      <c r="F55" s="115">
        <f t="shared" si="1"/>
        <v>7.0621468926553674E-2</v>
      </c>
    </row>
    <row r="56" spans="1:6">
      <c r="A56" s="63" t="s">
        <v>165</v>
      </c>
      <c r="B56" s="255" t="s">
        <v>166</v>
      </c>
      <c r="C56" s="258">
        <f>'RZiS 2023'!D56</f>
        <v>0</v>
      </c>
      <c r="D56" s="520"/>
      <c r="E56" s="240">
        <f t="shared" si="0"/>
        <v>0</v>
      </c>
      <c r="F56" s="237" t="e">
        <f t="shared" si="1"/>
        <v>#DIV/0!</v>
      </c>
    </row>
    <row r="57" spans="1:6" ht="30.75" thickBot="1">
      <c r="A57" s="64" t="s">
        <v>167</v>
      </c>
      <c r="B57" s="256" t="s">
        <v>168</v>
      </c>
      <c r="C57" s="265">
        <f>'RZiS 2023'!D57</f>
        <v>0</v>
      </c>
      <c r="D57" s="530"/>
      <c r="E57" s="239">
        <f t="shared" si="0"/>
        <v>0</v>
      </c>
      <c r="F57" s="236" t="e">
        <f t="shared" si="1"/>
        <v>#DIV/0!</v>
      </c>
    </row>
    <row r="58" spans="1:6" ht="28.5" customHeight="1" thickBot="1">
      <c r="A58" s="45" t="s">
        <v>169</v>
      </c>
      <c r="B58" s="243" t="s">
        <v>170</v>
      </c>
      <c r="C58" s="257">
        <f>'RZiS 2023'!D58</f>
        <v>5664000</v>
      </c>
      <c r="D58" s="46">
        <f>D55-D56-D57</f>
        <v>6064000</v>
      </c>
      <c r="E58" s="114">
        <f t="shared" si="0"/>
        <v>400000</v>
      </c>
      <c r="F58" s="115">
        <f t="shared" si="1"/>
        <v>7.0621468926553674E-2</v>
      </c>
    </row>
    <row r="61" spans="1:6" ht="15" customHeight="1">
      <c r="A61" s="686" t="s">
        <v>117</v>
      </c>
      <c r="B61" s="686"/>
      <c r="C61" s="686" t="s">
        <v>118</v>
      </c>
      <c r="D61" s="686"/>
      <c r="F61" s="74"/>
    </row>
    <row r="62" spans="1:6" ht="15" customHeight="1">
      <c r="A62" s="685" t="s">
        <v>207</v>
      </c>
      <c r="B62" s="685"/>
      <c r="C62" s="685" t="s">
        <v>119</v>
      </c>
      <c r="D62" s="685"/>
      <c r="F62" s="73"/>
    </row>
    <row r="63" spans="1:6">
      <c r="A63" s="685"/>
      <c r="B63" s="685"/>
    </row>
  </sheetData>
  <sheetProtection algorithmName="SHA-512" hashValue="WqyYrPjpCGyzTWcTOGk5Pq2/mrcVO54M+Aee4ViITTOH5nFw85eXFL/Mij4UiNmHS7282KrNHcdIiPMjblRDKw==" saltValue="rAlQJj1pF8nybrqoknSpRA==" spinCount="100000" sheet="1" formatCells="0" formatColumns="0" formatRows="0"/>
  <mergeCells count="13">
    <mergeCell ref="A61:B61"/>
    <mergeCell ref="C61:D61"/>
    <mergeCell ref="A62:B63"/>
    <mergeCell ref="C62:D62"/>
    <mergeCell ref="A2:B2"/>
    <mergeCell ref="A3:B3"/>
    <mergeCell ref="C3:D3"/>
    <mergeCell ref="A4:F4"/>
    <mergeCell ref="A6:A7"/>
    <mergeCell ref="B6:B7"/>
    <mergeCell ref="C6:D6"/>
    <mergeCell ref="E6:E7"/>
    <mergeCell ref="F6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63"/>
  <sheetViews>
    <sheetView zoomScale="60" zoomScaleNormal="60" workbookViewId="0">
      <pane ySplit="4" topLeftCell="A23" activePane="bottomLeft" state="frozen"/>
      <selection pane="bottomLeft" activeCell="D1" sqref="D1"/>
    </sheetView>
  </sheetViews>
  <sheetFormatPr defaultColWidth="9.140625" defaultRowHeight="15"/>
  <cols>
    <col min="1" max="1" width="59.28515625" style="148" customWidth="1"/>
    <col min="2" max="2" width="21.85546875" style="148" customWidth="1"/>
    <col min="3" max="3" width="16.42578125" style="148" customWidth="1"/>
    <col min="4" max="4" width="12.42578125" style="42" customWidth="1"/>
    <col min="5" max="5" width="12.28515625" style="42" customWidth="1"/>
    <col min="6" max="16384" width="9.140625" style="42"/>
  </cols>
  <sheetData>
    <row r="1" spans="1:5" s="534" customFormat="1">
      <c r="A1" s="538"/>
      <c r="B1" s="538"/>
      <c r="C1" s="538"/>
      <c r="D1" s="534" t="s">
        <v>340</v>
      </c>
    </row>
    <row r="2" spans="1:5" s="534" customFormat="1" ht="15.75" thickBot="1">
      <c r="A2" s="538"/>
      <c r="B2" s="538"/>
      <c r="C2" s="538"/>
    </row>
    <row r="3" spans="1:5" ht="41.25" customHeight="1" thickBot="1">
      <c r="A3" s="712" t="str">
        <f ca="1">RIGHT(CELL("nazwa_pliku",A1),31)</f>
        <v>Analiza wskaźnikowa za 2024 rok</v>
      </c>
      <c r="B3" s="713"/>
      <c r="C3" s="713"/>
      <c r="D3" s="713"/>
      <c r="E3" s="714"/>
    </row>
    <row r="4" spans="1:5" ht="15.75" thickBot="1">
      <c r="A4" s="274" t="s">
        <v>185</v>
      </c>
      <c r="B4" s="762" t="s">
        <v>213</v>
      </c>
      <c r="C4" s="762"/>
      <c r="D4" s="469" t="s">
        <v>186</v>
      </c>
      <c r="E4" s="131" t="s">
        <v>187</v>
      </c>
    </row>
    <row r="6" spans="1:5">
      <c r="A6" s="139" t="s">
        <v>180</v>
      </c>
      <c r="B6" s="139"/>
      <c r="C6" s="139"/>
      <c r="D6" s="284"/>
      <c r="E6" s="132">
        <f>E8+E13+E18</f>
        <v>12</v>
      </c>
    </row>
    <row r="7" spans="1:5">
      <c r="A7" s="277"/>
      <c r="B7" s="140"/>
      <c r="C7" s="278"/>
      <c r="D7" s="279"/>
      <c r="E7" s="133"/>
    </row>
    <row r="8" spans="1:5" ht="15" customHeight="1">
      <c r="A8" s="705" t="s">
        <v>252</v>
      </c>
      <c r="B8" s="141" t="s">
        <v>210</v>
      </c>
      <c r="C8" s="111">
        <v>0</v>
      </c>
      <c r="D8" s="763">
        <f>ROUND(('RZiS 2024'!D58)/('RZiS 2024'!D10+'RZiS 2024'!D13+'RZiS 2024'!D26+'RZiS 2024'!D36),4)</f>
        <v>2.1499999999999998E-2</v>
      </c>
      <c r="E8" s="709">
        <f>IF(D8&lt;0%,0,IF(AND(D8&gt;=0%,D8&lt;=2%),3,IF(AND(D8&gt;2%,D8&lt;=4%),4,5)))</f>
        <v>4</v>
      </c>
    </row>
    <row r="9" spans="1:5">
      <c r="A9" s="706"/>
      <c r="B9" s="141" t="s">
        <v>211</v>
      </c>
      <c r="C9" s="111">
        <v>3</v>
      </c>
      <c r="D9" s="763"/>
      <c r="E9" s="710"/>
    </row>
    <row r="10" spans="1:5">
      <c r="A10" s="706"/>
      <c r="B10" s="141" t="s">
        <v>235</v>
      </c>
      <c r="C10" s="111">
        <v>4</v>
      </c>
      <c r="D10" s="763"/>
      <c r="E10" s="710"/>
    </row>
    <row r="11" spans="1:5">
      <c r="A11" s="707"/>
      <c r="B11" s="141" t="s">
        <v>212</v>
      </c>
      <c r="C11" s="111">
        <v>5</v>
      </c>
      <c r="D11" s="763"/>
      <c r="E11" s="711"/>
    </row>
    <row r="12" spans="1:5">
      <c r="A12" s="99"/>
      <c r="B12" s="205"/>
      <c r="C12" s="206"/>
      <c r="D12" s="270"/>
      <c r="E12" s="128"/>
    </row>
    <row r="13" spans="1:5" ht="18.75" customHeight="1">
      <c r="A13" s="705" t="s">
        <v>246</v>
      </c>
      <c r="B13" s="141" t="s">
        <v>210</v>
      </c>
      <c r="C13" s="111">
        <v>0</v>
      </c>
      <c r="D13" s="763">
        <f>ROUND(('RZiS 2024'!D35)/('RZiS 2024'!D10+'RZiS 2024'!D13+'RZiS 2024'!D26),4)</f>
        <v>1.9900000000000001E-2</v>
      </c>
      <c r="E13" s="709">
        <f>IF(D13&lt;0%,0,IF(AND(D13&gt;=0%,D13&lt;=3%),3,IF(AND(D13&gt;3%,D13&lt;5%),4,5)))</f>
        <v>3</v>
      </c>
    </row>
    <row r="14" spans="1:5" ht="18.75" customHeight="1">
      <c r="A14" s="706"/>
      <c r="B14" s="141" t="s">
        <v>214</v>
      </c>
      <c r="C14" s="111">
        <v>3</v>
      </c>
      <c r="D14" s="763"/>
      <c r="E14" s="710"/>
    </row>
    <row r="15" spans="1:5" ht="18.75" customHeight="1">
      <c r="A15" s="706"/>
      <c r="B15" s="141" t="s">
        <v>236</v>
      </c>
      <c r="C15" s="111">
        <v>4</v>
      </c>
      <c r="D15" s="763"/>
      <c r="E15" s="710"/>
    </row>
    <row r="16" spans="1:5" ht="18.75" customHeight="1">
      <c r="A16" s="707"/>
      <c r="B16" s="141" t="s">
        <v>215</v>
      </c>
      <c r="C16" s="111">
        <v>5</v>
      </c>
      <c r="D16" s="763"/>
      <c r="E16" s="711"/>
    </row>
    <row r="17" spans="1:9">
      <c r="A17" s="280"/>
      <c r="B17" s="142"/>
      <c r="C17" s="142"/>
      <c r="D17" s="281"/>
      <c r="E17" s="134"/>
    </row>
    <row r="18" spans="1:9" ht="18.75" customHeight="1">
      <c r="A18" s="705" t="s">
        <v>251</v>
      </c>
      <c r="B18" s="141" t="s">
        <v>210</v>
      </c>
      <c r="C18" s="111">
        <v>0</v>
      </c>
      <c r="D18" s="764">
        <f>ROUND(('RZiS 2024'!D58)/(('BILANS 2024'!C95+'BILANS 2024'!D95)/2),4)</f>
        <v>6.6699999999999995E-2</v>
      </c>
      <c r="E18" s="709">
        <f>IF(D18&lt;0%,0,IF(AND(D18&gt;=0%,D18&lt;=2%),3,IF(AND(D18&gt;2%,D18&lt;4%),4,5)))</f>
        <v>5</v>
      </c>
    </row>
    <row r="19" spans="1:9">
      <c r="A19" s="706"/>
      <c r="B19" s="141" t="s">
        <v>211</v>
      </c>
      <c r="C19" s="111">
        <v>3</v>
      </c>
      <c r="D19" s="765"/>
      <c r="E19" s="710"/>
    </row>
    <row r="20" spans="1:9">
      <c r="A20" s="706"/>
      <c r="B20" s="141" t="s">
        <v>235</v>
      </c>
      <c r="C20" s="111">
        <v>4</v>
      </c>
      <c r="D20" s="765"/>
      <c r="E20" s="710"/>
    </row>
    <row r="21" spans="1:9">
      <c r="A21" s="707"/>
      <c r="B21" s="141" t="s">
        <v>212</v>
      </c>
      <c r="C21" s="111">
        <v>5</v>
      </c>
      <c r="D21" s="766"/>
      <c r="E21" s="711"/>
    </row>
    <row r="22" spans="1:9">
      <c r="A22" s="280"/>
      <c r="B22" s="146"/>
      <c r="C22" s="146"/>
      <c r="D22" s="282"/>
      <c r="E22" s="134"/>
    </row>
    <row r="23" spans="1:9">
      <c r="A23" s="283" t="s">
        <v>181</v>
      </c>
      <c r="B23" s="144"/>
      <c r="C23" s="144"/>
      <c r="D23" s="284"/>
      <c r="E23" s="132">
        <f>E25+E31</f>
        <v>25</v>
      </c>
    </row>
    <row r="24" spans="1:9">
      <c r="A24" s="280"/>
      <c r="B24" s="142"/>
      <c r="C24" s="142"/>
      <c r="D24" s="134"/>
      <c r="E24" s="134"/>
    </row>
    <row r="25" spans="1:9" ht="18.75" customHeight="1">
      <c r="A25" s="719" t="s">
        <v>245</v>
      </c>
      <c r="B25" s="141" t="s">
        <v>216</v>
      </c>
      <c r="C25" s="199">
        <v>0</v>
      </c>
      <c r="D25" s="722">
        <f>ROUND(('BILANS 2024'!D50-'BILANS 2024'!D61-'BILANS 2024'!D92)/('BILANS 2024'!K38-'BILANS 2024'!K47+'BILANS 2024'!K25+'BILANS 2024'!K28),2)</f>
        <v>1.61</v>
      </c>
      <c r="E25" s="709">
        <f>IF(D25&lt;0.6,0,IF(AND(D25&gt;=0.6,D25&lt;=1),4,IF(AND(D25&gt;1,D25&lt;=1.5),8,IF(AND(D25&gt;1.5,D25&lt;=3),12,10))))</f>
        <v>12</v>
      </c>
    </row>
    <row r="26" spans="1:9" ht="18" customHeight="1">
      <c r="A26" s="720"/>
      <c r="B26" s="141" t="s">
        <v>217</v>
      </c>
      <c r="C26" s="199">
        <v>4</v>
      </c>
      <c r="D26" s="723"/>
      <c r="E26" s="710"/>
    </row>
    <row r="27" spans="1:9" ht="18" customHeight="1">
      <c r="A27" s="720"/>
      <c r="B27" s="141" t="s">
        <v>237</v>
      </c>
      <c r="C27" s="199">
        <v>8</v>
      </c>
      <c r="D27" s="723"/>
      <c r="E27" s="710"/>
    </row>
    <row r="28" spans="1:9" ht="18" customHeight="1">
      <c r="A28" s="720"/>
      <c r="B28" s="141" t="s">
        <v>238</v>
      </c>
      <c r="C28" s="199">
        <v>12</v>
      </c>
      <c r="D28" s="723"/>
      <c r="E28" s="710"/>
    </row>
    <row r="29" spans="1:9" ht="45" customHeight="1">
      <c r="A29" s="721"/>
      <c r="B29" s="201" t="s">
        <v>218</v>
      </c>
      <c r="C29" s="111">
        <v>10</v>
      </c>
      <c r="D29" s="724"/>
      <c r="E29" s="711"/>
    </row>
    <row r="30" spans="1:9" ht="16.5" customHeight="1">
      <c r="A30" s="280"/>
      <c r="B30" s="146"/>
      <c r="C30" s="146"/>
      <c r="D30" s="285"/>
      <c r="E30" s="134"/>
    </row>
    <row r="31" spans="1:9" ht="23.25" customHeight="1">
      <c r="A31" s="719" t="s">
        <v>242</v>
      </c>
      <c r="B31" s="143" t="s">
        <v>219</v>
      </c>
      <c r="C31" s="200">
        <v>0</v>
      </c>
      <c r="D31" s="722">
        <f>ROUND(('BILANS 2024'!D50-'BILANS 2024'!D61-'BILANS 2024'!D66-'BILANS 2024'!D71-'BILANS 2024'!D92-'BILANS 2024'!D51)/('BILANS 2024'!K38-'BILANS 2024'!K42-'BILANS 2024'!K47-'BILANS 2024'!K55+'BILANS 2024'!K25+'BILANS 2024'!K28),2)</f>
        <v>1.6</v>
      </c>
      <c r="E31" s="709">
        <f>IF(D31&lt;0.5,0,IF(AND(D31&gt;=0.5,D31&lt;=1),8,IF(AND(D31&gt;1,D31&lt;=2.5),13,10)))</f>
        <v>13</v>
      </c>
    </row>
    <row r="32" spans="1:9" ht="23.25" customHeight="1">
      <c r="A32" s="720"/>
      <c r="B32" s="141" t="s">
        <v>220</v>
      </c>
      <c r="C32" s="199">
        <v>8</v>
      </c>
      <c r="D32" s="723"/>
      <c r="E32" s="710"/>
      <c r="I32" s="42" t="s">
        <v>241</v>
      </c>
    </row>
    <row r="33" spans="1:8" ht="25.5" customHeight="1">
      <c r="A33" s="720"/>
      <c r="B33" s="141" t="s">
        <v>239</v>
      </c>
      <c r="C33" s="199">
        <v>13</v>
      </c>
      <c r="D33" s="723"/>
      <c r="E33" s="710"/>
    </row>
    <row r="34" spans="1:8" ht="47.25" customHeight="1">
      <c r="A34" s="721"/>
      <c r="B34" s="201" t="s">
        <v>221</v>
      </c>
      <c r="C34" s="111">
        <v>10</v>
      </c>
      <c r="D34" s="724"/>
      <c r="E34" s="711"/>
      <c r="H34" s="286"/>
    </row>
    <row r="35" spans="1:8">
      <c r="A35" s="280"/>
      <c r="B35" s="146"/>
      <c r="C35" s="146"/>
      <c r="D35" s="134"/>
      <c r="E35" s="134"/>
    </row>
    <row r="36" spans="1:8" ht="30">
      <c r="A36" s="139" t="s">
        <v>183</v>
      </c>
      <c r="B36" s="144"/>
      <c r="C36" s="144"/>
      <c r="D36" s="284"/>
      <c r="E36" s="132">
        <f>E38+E43</f>
        <v>10</v>
      </c>
    </row>
    <row r="37" spans="1:8">
      <c r="A37" s="287"/>
      <c r="B37" s="145"/>
      <c r="C37" s="145"/>
      <c r="D37" s="134"/>
      <c r="E37" s="135"/>
    </row>
    <row r="38" spans="1:8" ht="18.75" customHeight="1">
      <c r="A38" s="719" t="s">
        <v>319</v>
      </c>
      <c r="B38" s="141" t="s">
        <v>222</v>
      </c>
      <c r="C38" s="111">
        <v>3</v>
      </c>
      <c r="D38" s="725">
        <f>ROUND(((('BILANS 2024'!C59+'BILANS 2024'!C64+'BILANS 2024'!C69+'BILANS 2024'!D59+'BILANS 2024'!D64+'BILANS 2024'!D69)/2)*366)/('RZiS 2024'!D10+'RZiS 2024'!D13),2)</f>
        <v>3.23</v>
      </c>
      <c r="E38" s="726">
        <f>IF(D38&lt;45,3,IF(AND(D38&gt;=45,D38&lt;60.5),2,IF(AND(D38&gt;=60.5,D38&lt;=90),1,0)))</f>
        <v>3</v>
      </c>
    </row>
    <row r="39" spans="1:8" ht="18.75" customHeight="1">
      <c r="A39" s="720"/>
      <c r="B39" s="141" t="s">
        <v>223</v>
      </c>
      <c r="C39" s="111">
        <v>2</v>
      </c>
      <c r="D39" s="725"/>
      <c r="E39" s="727"/>
    </row>
    <row r="40" spans="1:8" ht="18.75" customHeight="1">
      <c r="A40" s="720"/>
      <c r="B40" s="141" t="s">
        <v>224</v>
      </c>
      <c r="C40" s="111">
        <v>1</v>
      </c>
      <c r="D40" s="725"/>
      <c r="E40" s="727"/>
    </row>
    <row r="41" spans="1:8" ht="18.75" customHeight="1">
      <c r="A41" s="721"/>
      <c r="B41" s="201" t="s">
        <v>225</v>
      </c>
      <c r="C41" s="111">
        <v>0</v>
      </c>
      <c r="D41" s="725"/>
      <c r="E41" s="728"/>
    </row>
    <row r="42" spans="1:8">
      <c r="A42" s="288"/>
      <c r="B42" s="202"/>
      <c r="C42" s="203"/>
      <c r="D42" s="289"/>
      <c r="E42" s="134"/>
    </row>
    <row r="43" spans="1:8" ht="24" customHeight="1">
      <c r="A43" s="719" t="s">
        <v>320</v>
      </c>
      <c r="B43" s="141" t="s">
        <v>226</v>
      </c>
      <c r="C43" s="111">
        <v>7</v>
      </c>
      <c r="D43" s="731">
        <f>ROUND((('BILANS 2024'!J40+'BILANS 2024'!K40+'BILANS 2024'!J45+'BILANS 2024'!K45+'BILANS 2024'!J53+'BILANS 2024'!K53)/2)*366/('RZiS 2024'!D10+'RZiS 2024'!D13),2)</f>
        <v>8.58</v>
      </c>
      <c r="E43" s="709">
        <f>IF(D43&lt;60.5,7,IF(AND(D43&gt;=60.5,D43&lt;=90),4,0))</f>
        <v>7</v>
      </c>
    </row>
    <row r="44" spans="1:8" ht="21.75" customHeight="1">
      <c r="A44" s="720"/>
      <c r="B44" s="141" t="s">
        <v>224</v>
      </c>
      <c r="C44" s="111">
        <v>4</v>
      </c>
      <c r="D44" s="732"/>
      <c r="E44" s="710"/>
    </row>
    <row r="45" spans="1:8" ht="27" customHeight="1">
      <c r="A45" s="721"/>
      <c r="B45" s="141" t="s">
        <v>225</v>
      </c>
      <c r="C45" s="111">
        <v>0</v>
      </c>
      <c r="D45" s="733"/>
      <c r="E45" s="711"/>
    </row>
    <row r="46" spans="1:8">
      <c r="A46" s="280"/>
      <c r="B46" s="146"/>
      <c r="C46" s="146"/>
      <c r="D46" s="134"/>
      <c r="E46" s="134"/>
    </row>
    <row r="47" spans="1:8">
      <c r="A47" s="139" t="s">
        <v>184</v>
      </c>
      <c r="B47" s="144"/>
      <c r="C47" s="144"/>
      <c r="D47" s="284"/>
      <c r="E47" s="132">
        <f>E49+E54</f>
        <v>14</v>
      </c>
    </row>
    <row r="48" spans="1:8">
      <c r="A48" s="280"/>
      <c r="B48" s="142"/>
      <c r="C48" s="142"/>
      <c r="D48" s="134"/>
      <c r="E48" s="134"/>
    </row>
    <row r="49" spans="1:5" ht="18.75" customHeight="1">
      <c r="A49" s="719" t="s">
        <v>243</v>
      </c>
      <c r="B49" s="112" t="s">
        <v>227</v>
      </c>
      <c r="C49" s="111">
        <v>10</v>
      </c>
      <c r="D49" s="748">
        <f>ROUND(('BILANS 2024'!K38+'BILANS 2024'!K29+'BILANS 2024'!K21)/'BILANS 2024'!D95,4)</f>
        <v>0.52680000000000005</v>
      </c>
      <c r="E49" s="709">
        <f>IF(D49&lt;40%,10,IF(AND(D49&gt;=40%,D49&lt;=60%),8,IF(AND(D49&gt;60%,D49&lt;=80%),3,0)))</f>
        <v>8</v>
      </c>
    </row>
    <row r="50" spans="1:5">
      <c r="A50" s="720"/>
      <c r="B50" s="112" t="s">
        <v>228</v>
      </c>
      <c r="C50" s="111">
        <v>8</v>
      </c>
      <c r="D50" s="749"/>
      <c r="E50" s="710"/>
    </row>
    <row r="51" spans="1:5">
      <c r="A51" s="720"/>
      <c r="B51" s="112" t="s">
        <v>240</v>
      </c>
      <c r="C51" s="111">
        <v>3</v>
      </c>
      <c r="D51" s="749"/>
      <c r="E51" s="710"/>
    </row>
    <row r="52" spans="1:5">
      <c r="A52" s="721"/>
      <c r="B52" s="112" t="s">
        <v>229</v>
      </c>
      <c r="C52" s="111">
        <v>0</v>
      </c>
      <c r="D52" s="750"/>
      <c r="E52" s="711"/>
    </row>
    <row r="53" spans="1:5">
      <c r="A53" s="280"/>
      <c r="B53" s="146"/>
      <c r="C53" s="146"/>
      <c r="D53" s="290"/>
      <c r="E53" s="134"/>
    </row>
    <row r="54" spans="1:5" ht="19.5" customHeight="1">
      <c r="A54" s="719" t="s">
        <v>244</v>
      </c>
      <c r="B54" s="141" t="s">
        <v>230</v>
      </c>
      <c r="C54" s="111">
        <v>10</v>
      </c>
      <c r="D54" s="729">
        <f>ROUND(('BILANS 2024'!K21+'BILANS 2024'!K29+'BILANS 2024'!K38)/('BILANS 2024'!K8),2)</f>
        <v>1.43</v>
      </c>
      <c r="E54" s="709">
        <f>IF(AND(D54&gt;=0,D54&lt;=0.505),10,IF(AND(D54&gt;0.505,D54&lt;=1),8,IF(AND(D54&gt;1,D54&lt;=2),6,IF(AND(D54&gt;2,D54&lt;=4),4,0))))</f>
        <v>6</v>
      </c>
    </row>
    <row r="55" spans="1:5">
      <c r="A55" s="720"/>
      <c r="B55" s="141" t="s">
        <v>231</v>
      </c>
      <c r="C55" s="111">
        <v>8</v>
      </c>
      <c r="D55" s="729"/>
      <c r="E55" s="710"/>
    </row>
    <row r="56" spans="1:5">
      <c r="A56" s="720"/>
      <c r="B56" s="141" t="s">
        <v>232</v>
      </c>
      <c r="C56" s="111">
        <v>6</v>
      </c>
      <c r="D56" s="729"/>
      <c r="E56" s="710"/>
    </row>
    <row r="57" spans="1:5">
      <c r="A57" s="720"/>
      <c r="B57" s="141" t="s">
        <v>233</v>
      </c>
      <c r="C57" s="111">
        <v>4</v>
      </c>
      <c r="D57" s="729"/>
      <c r="E57" s="710"/>
    </row>
    <row r="58" spans="1:5" ht="25.5">
      <c r="A58" s="721"/>
      <c r="B58" s="201" t="s">
        <v>234</v>
      </c>
      <c r="C58" s="111">
        <v>0</v>
      </c>
      <c r="D58" s="729"/>
      <c r="E58" s="711"/>
    </row>
    <row r="59" spans="1:5">
      <c r="A59" s="280"/>
      <c r="B59" s="146"/>
      <c r="C59" s="146"/>
      <c r="D59" s="282"/>
      <c r="E59" s="134"/>
    </row>
    <row r="60" spans="1:5" ht="24.75" customHeight="1">
      <c r="A60" s="291" t="s">
        <v>188</v>
      </c>
      <c r="B60" s="147"/>
      <c r="C60" s="147"/>
      <c r="D60" s="292"/>
      <c r="E60" s="136">
        <f>E6+E23+E36+E47</f>
        <v>61</v>
      </c>
    </row>
    <row r="63" spans="1:5" ht="29.25" customHeight="1">
      <c r="A63" s="743" t="s">
        <v>303</v>
      </c>
      <c r="B63" s="743"/>
      <c r="C63" s="743"/>
      <c r="D63" s="743"/>
      <c r="E63" s="743"/>
    </row>
  </sheetData>
  <sheetProtection algorithmName="SHA-512" hashValue="fMskgjbx+2gSUMC9S8x5p0O+24dasOZX7sf8+BZfAMaPNGT3Z56xrnItq7bEdFZxryFO0p7cgm4IyHiIal7eQg==" saltValue="Gg1ceNufwIgROPPjY2X8XQ==" spinCount="100000" sheet="1" formatCells="0" formatColumns="0" formatRows="0"/>
  <mergeCells count="30">
    <mergeCell ref="A54:A58"/>
    <mergeCell ref="D54:D58"/>
    <mergeCell ref="E54:E58"/>
    <mergeCell ref="A63:E63"/>
    <mergeCell ref="A43:A45"/>
    <mergeCell ref="D43:D45"/>
    <mergeCell ref="E43:E45"/>
    <mergeCell ref="A49:A52"/>
    <mergeCell ref="D49:D52"/>
    <mergeCell ref="E49:E52"/>
    <mergeCell ref="A31:A34"/>
    <mergeCell ref="D31:D34"/>
    <mergeCell ref="E31:E34"/>
    <mergeCell ref="A38:A41"/>
    <mergeCell ref="D38:D41"/>
    <mergeCell ref="E38:E41"/>
    <mergeCell ref="A18:A21"/>
    <mergeCell ref="D18:D21"/>
    <mergeCell ref="E18:E21"/>
    <mergeCell ref="A25:A29"/>
    <mergeCell ref="D25:D29"/>
    <mergeCell ref="E25:E29"/>
    <mergeCell ref="A13:A16"/>
    <mergeCell ref="D13:D16"/>
    <mergeCell ref="E13:E16"/>
    <mergeCell ref="A3:E3"/>
    <mergeCell ref="B4:C4"/>
    <mergeCell ref="A8:A11"/>
    <mergeCell ref="D8:D11"/>
    <mergeCell ref="E8:E11"/>
  </mergeCells>
  <pageMargins left="0.7" right="0.7" top="0.75" bottom="0.75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2"/>
  <sheetViews>
    <sheetView view="pageBreakPreview" zoomScaleNormal="70" zoomScaleSheetLayoutView="100" workbookViewId="0">
      <pane ySplit="7" topLeftCell="A83" activePane="bottomLeft" state="frozen"/>
      <selection activeCell="C7" sqref="C7"/>
      <selection pane="bottomLeft" activeCell="Q14" sqref="Q14"/>
    </sheetView>
  </sheetViews>
  <sheetFormatPr defaultColWidth="9.140625" defaultRowHeight="15"/>
  <cols>
    <col min="1" max="1" width="4.140625" style="221" customWidth="1"/>
    <col min="2" max="2" width="47.42578125" customWidth="1"/>
    <col min="3" max="3" width="15.85546875" bestFit="1" customWidth="1"/>
    <col min="4" max="6" width="16.42578125" customWidth="1"/>
    <col min="7" max="7" width="0.42578125" customWidth="1"/>
    <col min="8" max="8" width="4.28515625" style="221" customWidth="1"/>
    <col min="9" max="9" width="49.5703125" customWidth="1"/>
    <col min="10" max="11" width="15.85546875" bestFit="1" customWidth="1"/>
    <col min="12" max="12" width="14.5703125" style="42" customWidth="1"/>
    <col min="13" max="13" width="10.42578125" style="42" customWidth="1"/>
  </cols>
  <sheetData>
    <row r="1" spans="1:13" s="518" customFormat="1">
      <c r="A1" s="532"/>
      <c r="B1" s="533"/>
      <c r="C1" s="533"/>
      <c r="D1" s="533"/>
      <c r="E1" s="518" t="s">
        <v>341</v>
      </c>
      <c r="F1" s="533"/>
      <c r="G1" s="533"/>
      <c r="H1" s="532"/>
      <c r="I1" s="533"/>
      <c r="J1" s="533"/>
      <c r="K1" s="533"/>
      <c r="L1" s="518" t="s">
        <v>342</v>
      </c>
      <c r="M1" s="534"/>
    </row>
    <row r="2" spans="1:13" s="518" customFormat="1">
      <c r="A2" s="532"/>
      <c r="B2" s="535" t="s">
        <v>257</v>
      </c>
      <c r="C2" s="533"/>
      <c r="D2" s="533"/>
      <c r="E2" s="533"/>
      <c r="F2" s="533"/>
      <c r="G2" s="533"/>
      <c r="H2" s="532"/>
      <c r="I2" s="535" t="s">
        <v>258</v>
      </c>
      <c r="J2" s="533"/>
      <c r="K2" s="533"/>
      <c r="L2" s="534"/>
      <c r="M2" s="534"/>
    </row>
    <row r="3" spans="1:13">
      <c r="A3" s="152"/>
      <c r="B3" s="295" t="s">
        <v>1</v>
      </c>
      <c r="C3" s="2"/>
      <c r="D3" s="2"/>
      <c r="E3" s="2"/>
      <c r="F3" s="2"/>
      <c r="G3" s="2"/>
      <c r="H3" s="152"/>
      <c r="I3" s="295" t="s">
        <v>1</v>
      </c>
      <c r="J3" s="2"/>
      <c r="K3" s="2"/>
    </row>
    <row r="4" spans="1:13" ht="15.75" customHeight="1" thickBot="1">
      <c r="A4" s="454"/>
      <c r="B4" s="451" t="s">
        <v>302</v>
      </c>
      <c r="C4" s="687" t="s">
        <v>205</v>
      </c>
      <c r="D4" s="687"/>
      <c r="E4" s="225"/>
      <c r="F4" s="225"/>
      <c r="G4" s="225"/>
      <c r="H4" s="225"/>
      <c r="I4" s="451" t="s">
        <v>302</v>
      </c>
      <c r="J4" s="687" t="s">
        <v>205</v>
      </c>
      <c r="K4" s="687"/>
    </row>
    <row r="5" spans="1:13" ht="15.75" thickBot="1">
      <c r="A5" s="152"/>
      <c r="B5" s="2"/>
      <c r="C5" s="2"/>
      <c r="D5" s="2"/>
      <c r="E5" s="2"/>
      <c r="F5" s="2"/>
      <c r="G5" s="2"/>
      <c r="H5" s="152"/>
      <c r="I5" s="2"/>
    </row>
    <row r="6" spans="1:13">
      <c r="A6" s="688"/>
      <c r="B6" s="691" t="s">
        <v>2</v>
      </c>
      <c r="C6" s="693" t="s">
        <v>3</v>
      </c>
      <c r="D6" s="698"/>
      <c r="E6" s="693" t="s">
        <v>208</v>
      </c>
      <c r="F6" s="695" t="s">
        <v>209</v>
      </c>
      <c r="G6" s="225"/>
      <c r="H6" s="688"/>
      <c r="I6" s="689" t="s">
        <v>4</v>
      </c>
      <c r="J6" s="691" t="s">
        <v>3</v>
      </c>
      <c r="K6" s="692"/>
      <c r="L6" s="693" t="s">
        <v>208</v>
      </c>
      <c r="M6" s="695" t="s">
        <v>209</v>
      </c>
    </row>
    <row r="7" spans="1:13" ht="15.75" thickBot="1">
      <c r="A7" s="688"/>
      <c r="B7" s="697"/>
      <c r="C7" s="453" t="str">
        <f ca="1">'BILANS 2024'!D7</f>
        <v>31.12.2024</v>
      </c>
      <c r="D7" s="592" t="str">
        <f ca="1">CONCATENATE("31.12.",RIGHT(CELL("nazwa_pliku",A1),4))</f>
        <v>31.12.2025</v>
      </c>
      <c r="E7" s="699"/>
      <c r="F7" s="700"/>
      <c r="G7" s="225"/>
      <c r="H7" s="688"/>
      <c r="I7" s="690"/>
      <c r="J7" s="453" t="str">
        <f ca="1">'BILANS 2024'!K7</f>
        <v>31.12.2024</v>
      </c>
      <c r="K7" s="592" t="str">
        <f ca="1">CONCATENATE("31.12.",RIGHT(CELL("nazwa_pliku",H1),4))</f>
        <v>31.12.2025</v>
      </c>
      <c r="L7" s="694"/>
      <c r="M7" s="696"/>
    </row>
    <row r="8" spans="1:13" ht="15.75" thickBot="1">
      <c r="A8" s="5" t="s">
        <v>5</v>
      </c>
      <c r="B8" s="179" t="s">
        <v>6</v>
      </c>
      <c r="C8" s="6">
        <f>'BILANS 2024'!D8</f>
        <v>35682364.829999998</v>
      </c>
      <c r="D8" s="268">
        <f>D9+D14+D23+D27+D47</f>
        <v>35850589.829999998</v>
      </c>
      <c r="E8" s="6">
        <f>D8-C8</f>
        <v>168225</v>
      </c>
      <c r="F8" s="180">
        <f>E8/C8</f>
        <v>4.7145137605499902E-3</v>
      </c>
      <c r="G8" s="226"/>
      <c r="H8" s="93" t="s">
        <v>5</v>
      </c>
      <c r="I8" s="7" t="s">
        <v>7</v>
      </c>
      <c r="J8" s="77">
        <f>'BILANS 2024'!K8</f>
        <v>34369842.829999998</v>
      </c>
      <c r="K8" s="234">
        <f>K9+K10+K12+K14+K17+K18+K19</f>
        <v>40684842.829999998</v>
      </c>
      <c r="L8" s="159">
        <f>K8-J8</f>
        <v>6315000</v>
      </c>
      <c r="M8" s="160">
        <f>L8/J8</f>
        <v>0.18373665632500072</v>
      </c>
    </row>
    <row r="9" spans="1:13" ht="15.75" thickBot="1">
      <c r="A9" s="8" t="s">
        <v>8</v>
      </c>
      <c r="B9" s="28" t="s">
        <v>206</v>
      </c>
      <c r="C9" s="9">
        <f>'BILANS 2024'!D9</f>
        <v>153683.31</v>
      </c>
      <c r="D9" s="82">
        <f>D10+D11+D12+D13</f>
        <v>189908.31</v>
      </c>
      <c r="E9" s="9">
        <f t="shared" ref="E9:E70" si="0">D9-C9</f>
        <v>36225</v>
      </c>
      <c r="F9" s="157">
        <f t="shared" ref="F9:F70" si="1">E9/C9</f>
        <v>0.23571199761379424</v>
      </c>
      <c r="G9" s="226"/>
      <c r="H9" s="94" t="s">
        <v>8</v>
      </c>
      <c r="I9" s="10" t="s">
        <v>9</v>
      </c>
      <c r="J9" s="11">
        <f>'BILANS 2024'!K9</f>
        <v>35420985.210000001</v>
      </c>
      <c r="K9" s="502">
        <v>35420985.210000001</v>
      </c>
      <c r="L9" s="161">
        <f t="shared" ref="L9:L66" si="2">K9-J9</f>
        <v>0</v>
      </c>
      <c r="M9" s="162">
        <f t="shared" ref="M9:M66" si="3">L9/J9</f>
        <v>0</v>
      </c>
    </row>
    <row r="10" spans="1:13">
      <c r="A10" s="12">
        <v>1</v>
      </c>
      <c r="B10" s="30" t="s">
        <v>10</v>
      </c>
      <c r="C10" s="13">
        <f>'BILANS 2024'!D10</f>
        <v>0</v>
      </c>
      <c r="D10" s="484"/>
      <c r="E10" s="229">
        <f t="shared" si="0"/>
        <v>0</v>
      </c>
      <c r="F10" s="181" t="e">
        <f t="shared" si="1"/>
        <v>#DIV/0!</v>
      </c>
      <c r="G10" s="226"/>
      <c r="H10" s="94" t="s">
        <v>11</v>
      </c>
      <c r="I10" s="10" t="s">
        <v>171</v>
      </c>
      <c r="J10" s="11">
        <f>'BILANS 2024'!K10</f>
        <v>0</v>
      </c>
      <c r="K10" s="502"/>
      <c r="L10" s="163">
        <f t="shared" si="2"/>
        <v>0</v>
      </c>
      <c r="M10" s="164" t="e">
        <f t="shared" si="3"/>
        <v>#DIV/0!</v>
      </c>
    </row>
    <row r="11" spans="1:13" ht="30.75" thickBot="1">
      <c r="A11" s="12">
        <v>2</v>
      </c>
      <c r="B11" s="30" t="s">
        <v>12</v>
      </c>
      <c r="C11" s="13">
        <f>'BILANS 2024'!D11</f>
        <v>0</v>
      </c>
      <c r="D11" s="484"/>
      <c r="E11" s="230">
        <f t="shared" si="0"/>
        <v>0</v>
      </c>
      <c r="F11" s="182" t="e">
        <f t="shared" si="1"/>
        <v>#DIV/0!</v>
      </c>
      <c r="G11" s="226"/>
      <c r="H11" s="217"/>
      <c r="I11" s="207" t="s">
        <v>13</v>
      </c>
      <c r="J11" s="208">
        <f>'BILANS 2024'!K11</f>
        <v>0</v>
      </c>
      <c r="K11" s="503"/>
      <c r="L11" s="167">
        <f t="shared" si="2"/>
        <v>0</v>
      </c>
      <c r="M11" s="168" t="e">
        <f t="shared" si="3"/>
        <v>#DIV/0!</v>
      </c>
    </row>
    <row r="12" spans="1:13">
      <c r="A12" s="12">
        <v>3</v>
      </c>
      <c r="B12" s="30" t="s">
        <v>14</v>
      </c>
      <c r="C12" s="13">
        <f>'BILANS 2024'!D12</f>
        <v>153683.31</v>
      </c>
      <c r="D12" s="484">
        <v>189908.31</v>
      </c>
      <c r="E12" s="230">
        <f t="shared" si="0"/>
        <v>36225</v>
      </c>
      <c r="F12" s="182">
        <f t="shared" si="1"/>
        <v>0.23571199761379424</v>
      </c>
      <c r="G12" s="226"/>
      <c r="H12" s="95" t="s">
        <v>16</v>
      </c>
      <c r="I12" s="16" t="s">
        <v>172</v>
      </c>
      <c r="J12" s="17">
        <f>'BILANS 2024'!K12</f>
        <v>0</v>
      </c>
      <c r="K12" s="505"/>
      <c r="L12" s="163">
        <f t="shared" si="2"/>
        <v>0</v>
      </c>
      <c r="M12" s="164" t="e">
        <f t="shared" si="3"/>
        <v>#DIV/0!</v>
      </c>
    </row>
    <row r="13" spans="1:13" ht="15.75" thickBot="1">
      <c r="A13" s="14">
        <v>4</v>
      </c>
      <c r="B13" s="40" t="s">
        <v>15</v>
      </c>
      <c r="C13" s="15">
        <f>'BILANS 2024'!D13</f>
        <v>0</v>
      </c>
      <c r="D13" s="486"/>
      <c r="E13" s="231">
        <f t="shared" si="0"/>
        <v>0</v>
      </c>
      <c r="F13" s="183" t="e">
        <f t="shared" si="1"/>
        <v>#DIV/0!</v>
      </c>
      <c r="G13" s="226"/>
      <c r="H13" s="96"/>
      <c r="I13" s="19" t="s">
        <v>18</v>
      </c>
      <c r="J13" s="20">
        <f>'BILANS 2024'!K13</f>
        <v>0</v>
      </c>
      <c r="K13" s="507"/>
      <c r="L13" s="167">
        <f t="shared" si="2"/>
        <v>0</v>
      </c>
      <c r="M13" s="168" t="e">
        <f t="shared" si="3"/>
        <v>#DIV/0!</v>
      </c>
    </row>
    <row r="14" spans="1:13">
      <c r="A14" s="18" t="s">
        <v>11</v>
      </c>
      <c r="B14" s="184" t="s">
        <v>17</v>
      </c>
      <c r="C14" s="9">
        <f>'BILANS 2024'!D14</f>
        <v>35528681.519999996</v>
      </c>
      <c r="D14" s="82">
        <f>D15+D21+D22</f>
        <v>35660681.519999996</v>
      </c>
      <c r="E14" s="9">
        <f t="shared" si="0"/>
        <v>132000</v>
      </c>
      <c r="F14" s="157">
        <f t="shared" si="1"/>
        <v>3.7153081497182452E-3</v>
      </c>
      <c r="G14" s="226"/>
      <c r="H14" s="95" t="s">
        <v>20</v>
      </c>
      <c r="I14" s="16" t="s">
        <v>173</v>
      </c>
      <c r="J14" s="17">
        <f>'BILANS 2024'!K14</f>
        <v>0</v>
      </c>
      <c r="K14" s="508"/>
      <c r="L14" s="163">
        <f t="shared" si="2"/>
        <v>0</v>
      </c>
      <c r="M14" s="164" t="e">
        <f t="shared" si="3"/>
        <v>#DIV/0!</v>
      </c>
    </row>
    <row r="15" spans="1:13">
      <c r="A15" s="21">
        <v>1</v>
      </c>
      <c r="B15" s="185" t="s">
        <v>19</v>
      </c>
      <c r="C15" s="22">
        <f>'BILANS 2024'!D15</f>
        <v>35528681.519999996</v>
      </c>
      <c r="D15" s="85">
        <f>SUM(D16:D20)</f>
        <v>35660681.519999996</v>
      </c>
      <c r="E15" s="229">
        <f t="shared" si="0"/>
        <v>132000</v>
      </c>
      <c r="F15" s="181">
        <f t="shared" si="1"/>
        <v>3.7153081497182452E-3</v>
      </c>
      <c r="G15" s="226"/>
      <c r="H15" s="96"/>
      <c r="I15" s="19" t="s">
        <v>23</v>
      </c>
      <c r="J15" s="20">
        <f>'BILANS 2024'!K15</f>
        <v>0</v>
      </c>
      <c r="K15" s="507"/>
      <c r="L15" s="165">
        <f t="shared" si="2"/>
        <v>0</v>
      </c>
      <c r="M15" s="166" t="e">
        <f t="shared" si="3"/>
        <v>#DIV/0!</v>
      </c>
    </row>
    <row r="16" spans="1:13" ht="30.75" thickBot="1">
      <c r="A16" s="12" t="s">
        <v>21</v>
      </c>
      <c r="B16" s="30" t="s">
        <v>22</v>
      </c>
      <c r="C16" s="13">
        <f>'BILANS 2024'!D16</f>
        <v>7662681.5199999996</v>
      </c>
      <c r="D16" s="484">
        <v>7662681.5199999996</v>
      </c>
      <c r="E16" s="230">
        <f t="shared" si="0"/>
        <v>0</v>
      </c>
      <c r="F16" s="182">
        <f t="shared" si="1"/>
        <v>0</v>
      </c>
      <c r="G16" s="226"/>
      <c r="H16" s="96"/>
      <c r="I16" s="19" t="s">
        <v>26</v>
      </c>
      <c r="J16" s="20">
        <f>'BILANS 2024'!K16</f>
        <v>0</v>
      </c>
      <c r="K16" s="507"/>
      <c r="L16" s="167">
        <f t="shared" si="2"/>
        <v>0</v>
      </c>
      <c r="M16" s="168" t="e">
        <f t="shared" si="3"/>
        <v>#DIV/0!</v>
      </c>
    </row>
    <row r="17" spans="1:13" ht="30.75" thickBot="1">
      <c r="A17" s="12" t="s">
        <v>24</v>
      </c>
      <c r="B17" s="30" t="s">
        <v>25</v>
      </c>
      <c r="C17" s="13">
        <f>'BILANS 2024'!D17</f>
        <v>12716000</v>
      </c>
      <c r="D17" s="484">
        <v>12298000</v>
      </c>
      <c r="E17" s="230">
        <f t="shared" si="0"/>
        <v>-418000</v>
      </c>
      <c r="F17" s="182">
        <f t="shared" si="1"/>
        <v>-3.2871972318339097E-2</v>
      </c>
      <c r="G17" s="226"/>
      <c r="H17" s="94" t="s">
        <v>29</v>
      </c>
      <c r="I17" s="10" t="s">
        <v>30</v>
      </c>
      <c r="J17" s="552">
        <f>'BILANS 2024'!K17</f>
        <v>-7115142.3799999999</v>
      </c>
      <c r="K17" s="556">
        <v>-1051142.3799999999</v>
      </c>
      <c r="L17" s="161">
        <f t="shared" si="2"/>
        <v>6064000</v>
      </c>
      <c r="M17" s="162">
        <f t="shared" si="3"/>
        <v>-0.85226685231842125</v>
      </c>
    </row>
    <row r="18" spans="1:13" ht="15.75" thickBot="1">
      <c r="A18" s="12" t="s">
        <v>27</v>
      </c>
      <c r="B18" s="30" t="s">
        <v>28</v>
      </c>
      <c r="C18" s="13">
        <f>'BILANS 2024'!D18</f>
        <v>650000</v>
      </c>
      <c r="D18" s="484">
        <v>700000</v>
      </c>
      <c r="E18" s="230">
        <f t="shared" si="0"/>
        <v>50000</v>
      </c>
      <c r="F18" s="182">
        <f t="shared" si="1"/>
        <v>7.6923076923076927E-2</v>
      </c>
      <c r="G18" s="226"/>
      <c r="H18" s="94" t="s">
        <v>33</v>
      </c>
      <c r="I18" s="10" t="s">
        <v>34</v>
      </c>
      <c r="J18" s="23">
        <f>'BILANS 2024'!K18</f>
        <v>6064000</v>
      </c>
      <c r="K18" s="512">
        <v>6315000</v>
      </c>
      <c r="L18" s="161">
        <f t="shared" si="2"/>
        <v>251000</v>
      </c>
      <c r="M18" s="162">
        <f t="shared" si="3"/>
        <v>4.1391820580474935E-2</v>
      </c>
    </row>
    <row r="19" spans="1:13" ht="30.75" thickBot="1">
      <c r="A19" s="12" t="s">
        <v>31</v>
      </c>
      <c r="B19" s="30" t="s">
        <v>32</v>
      </c>
      <c r="C19" s="13">
        <f>'BILANS 2024'!D19</f>
        <v>9000000</v>
      </c>
      <c r="D19" s="484">
        <v>9000000</v>
      </c>
      <c r="E19" s="230">
        <f t="shared" si="0"/>
        <v>0</v>
      </c>
      <c r="F19" s="182">
        <f t="shared" si="1"/>
        <v>0</v>
      </c>
      <c r="G19" s="226"/>
      <c r="H19" s="218" t="s">
        <v>37</v>
      </c>
      <c r="I19" s="209" t="s">
        <v>38</v>
      </c>
      <c r="J19" s="210">
        <f>'BILANS 2024'!K19</f>
        <v>0</v>
      </c>
      <c r="K19" s="514"/>
      <c r="L19" s="212">
        <f t="shared" si="2"/>
        <v>0</v>
      </c>
      <c r="M19" s="213" t="e">
        <f t="shared" si="3"/>
        <v>#DIV/0!</v>
      </c>
    </row>
    <row r="20" spans="1:13" ht="15.75" thickBot="1">
      <c r="A20" s="12" t="s">
        <v>35</v>
      </c>
      <c r="B20" s="30" t="s">
        <v>36</v>
      </c>
      <c r="C20" s="13">
        <f>'BILANS 2024'!D20</f>
        <v>5500000</v>
      </c>
      <c r="D20" s="484">
        <v>6000000</v>
      </c>
      <c r="E20" s="230">
        <f t="shared" si="0"/>
        <v>500000</v>
      </c>
      <c r="F20" s="182">
        <f t="shared" si="1"/>
        <v>9.0909090909090912E-2</v>
      </c>
      <c r="G20" s="226"/>
      <c r="H20" s="93" t="s">
        <v>41</v>
      </c>
      <c r="I20" s="26" t="s">
        <v>42</v>
      </c>
      <c r="J20" s="27">
        <f>'BILANS 2024'!K20</f>
        <v>59118522</v>
      </c>
      <c r="K20" s="119">
        <f>K21+K29+K38+K62</f>
        <v>56708747</v>
      </c>
      <c r="L20" s="159">
        <f t="shared" si="2"/>
        <v>-2409775</v>
      </c>
      <c r="M20" s="160">
        <f t="shared" si="3"/>
        <v>-4.0761759910032933E-2</v>
      </c>
    </row>
    <row r="21" spans="1:13">
      <c r="A21" s="21">
        <v>2</v>
      </c>
      <c r="B21" s="186" t="s">
        <v>39</v>
      </c>
      <c r="C21" s="22">
        <f>'BILANS 2024'!D21</f>
        <v>0</v>
      </c>
      <c r="D21" s="488"/>
      <c r="E21" s="230">
        <f t="shared" si="0"/>
        <v>0</v>
      </c>
      <c r="F21" s="182" t="e">
        <f t="shared" si="1"/>
        <v>#DIV/0!</v>
      </c>
      <c r="G21" s="226"/>
      <c r="H21" s="97" t="s">
        <v>8</v>
      </c>
      <c r="I21" s="28" t="s">
        <v>44</v>
      </c>
      <c r="J21" s="9">
        <f>'BILANS 2024'!K21</f>
        <v>16800000</v>
      </c>
      <c r="K21" s="82">
        <f>K22+K23+K26</f>
        <v>16450000</v>
      </c>
      <c r="L21" s="171">
        <f t="shared" si="2"/>
        <v>-350000</v>
      </c>
      <c r="M21" s="172">
        <f t="shared" si="3"/>
        <v>-2.0833333333333332E-2</v>
      </c>
    </row>
    <row r="22" spans="1:13" ht="15.75" thickBot="1">
      <c r="A22" s="24">
        <v>3</v>
      </c>
      <c r="B22" s="187" t="s">
        <v>40</v>
      </c>
      <c r="C22" s="25">
        <f>'BILANS 2024'!D22</f>
        <v>0</v>
      </c>
      <c r="D22" s="490"/>
      <c r="E22" s="231">
        <f t="shared" si="0"/>
        <v>0</v>
      </c>
      <c r="F22" s="183" t="e">
        <f t="shared" si="1"/>
        <v>#DIV/0!</v>
      </c>
      <c r="G22" s="226"/>
      <c r="H22" s="70">
        <v>1</v>
      </c>
      <c r="I22" s="30" t="s">
        <v>46</v>
      </c>
      <c r="J22" s="13">
        <f>'BILANS 2024'!K22</f>
        <v>0</v>
      </c>
      <c r="K22" s="484"/>
      <c r="L22" s="165">
        <f t="shared" si="2"/>
        <v>0</v>
      </c>
      <c r="M22" s="166" t="e">
        <f t="shared" si="3"/>
        <v>#DIV/0!</v>
      </c>
    </row>
    <row r="23" spans="1:13">
      <c r="A23" s="8" t="s">
        <v>16</v>
      </c>
      <c r="B23" s="28" t="s">
        <v>43</v>
      </c>
      <c r="C23" s="9">
        <f>'BILANS 2024'!D23</f>
        <v>0</v>
      </c>
      <c r="D23" s="82">
        <f>D24+D25+D26</f>
        <v>0</v>
      </c>
      <c r="E23" s="9">
        <f t="shared" si="0"/>
        <v>0</v>
      </c>
      <c r="F23" s="157" t="e">
        <f t="shared" si="1"/>
        <v>#DIV/0!</v>
      </c>
      <c r="G23" s="226"/>
      <c r="H23" s="70">
        <v>2</v>
      </c>
      <c r="I23" s="30" t="s">
        <v>48</v>
      </c>
      <c r="J23" s="13">
        <f>'BILANS 2024'!K23</f>
        <v>13800000</v>
      </c>
      <c r="K23" s="173">
        <f>K24+K25</f>
        <v>14450000</v>
      </c>
      <c r="L23" s="165">
        <f t="shared" si="2"/>
        <v>650000</v>
      </c>
      <c r="M23" s="166">
        <f t="shared" si="3"/>
        <v>4.710144927536232E-2</v>
      </c>
    </row>
    <row r="24" spans="1:13">
      <c r="A24" s="12">
        <v>1</v>
      </c>
      <c r="B24" s="188" t="s">
        <v>45</v>
      </c>
      <c r="C24" s="13">
        <f>'BILANS 2024'!D24</f>
        <v>0</v>
      </c>
      <c r="D24" s="484"/>
      <c r="E24" s="229">
        <f t="shared" si="0"/>
        <v>0</v>
      </c>
      <c r="F24" s="181" t="e">
        <f t="shared" si="1"/>
        <v>#DIV/0!</v>
      </c>
      <c r="G24" s="226"/>
      <c r="H24" s="70"/>
      <c r="I24" s="30" t="s">
        <v>49</v>
      </c>
      <c r="J24" s="13">
        <f>'BILANS 2024'!K24</f>
        <v>12000000</v>
      </c>
      <c r="K24" s="515">
        <v>12500000</v>
      </c>
      <c r="L24" s="165">
        <f t="shared" si="2"/>
        <v>500000</v>
      </c>
      <c r="M24" s="166">
        <f t="shared" si="3"/>
        <v>4.1666666666666664E-2</v>
      </c>
    </row>
    <row r="25" spans="1:13" ht="30">
      <c r="A25" s="151">
        <v>2</v>
      </c>
      <c r="B25" s="150" t="s">
        <v>47</v>
      </c>
      <c r="C25" s="208">
        <f>'BILANS 2024'!D25</f>
        <v>0</v>
      </c>
      <c r="D25" s="492"/>
      <c r="E25" s="231">
        <f t="shared" si="0"/>
        <v>0</v>
      </c>
      <c r="F25" s="183" t="e">
        <f t="shared" si="1"/>
        <v>#DIV/0!</v>
      </c>
      <c r="G25" s="226"/>
      <c r="H25" s="70"/>
      <c r="I25" s="30" t="s">
        <v>51</v>
      </c>
      <c r="J25" s="13">
        <f>'BILANS 2024'!K25</f>
        <v>1800000</v>
      </c>
      <c r="K25" s="515">
        <v>1950000</v>
      </c>
      <c r="L25" s="165">
        <f t="shared" si="2"/>
        <v>150000</v>
      </c>
      <c r="M25" s="166">
        <f t="shared" si="3"/>
        <v>8.3333333333333329E-2</v>
      </c>
    </row>
    <row r="26" spans="1:13" ht="15.75" thickBot="1">
      <c r="A26" s="14">
        <v>3</v>
      </c>
      <c r="B26" s="189" t="s">
        <v>50</v>
      </c>
      <c r="C26" s="15">
        <f>'BILANS 2024'!D26</f>
        <v>0</v>
      </c>
      <c r="D26" s="486"/>
      <c r="E26" s="231">
        <f t="shared" si="0"/>
        <v>0</v>
      </c>
      <c r="F26" s="183" t="e">
        <f t="shared" si="1"/>
        <v>#DIV/0!</v>
      </c>
      <c r="G26" s="226"/>
      <c r="H26" s="70">
        <v>3</v>
      </c>
      <c r="I26" s="30" t="s">
        <v>53</v>
      </c>
      <c r="J26" s="13">
        <f>'BILANS 2024'!K26</f>
        <v>3000000</v>
      </c>
      <c r="K26" s="173">
        <f>K27+K28</f>
        <v>2000000</v>
      </c>
      <c r="L26" s="165">
        <f t="shared" si="2"/>
        <v>-1000000</v>
      </c>
      <c r="M26" s="166">
        <f t="shared" si="3"/>
        <v>-0.33333333333333331</v>
      </c>
    </row>
    <row r="27" spans="1:13">
      <c r="A27" s="18" t="s">
        <v>20</v>
      </c>
      <c r="B27" s="184" t="s">
        <v>52</v>
      </c>
      <c r="C27" s="9">
        <f>'BILANS 2024'!D27</f>
        <v>0</v>
      </c>
      <c r="D27" s="82">
        <f>D28+D29+D30+D46</f>
        <v>0</v>
      </c>
      <c r="E27" s="9">
        <f t="shared" si="0"/>
        <v>0</v>
      </c>
      <c r="F27" s="157" t="e">
        <f t="shared" si="1"/>
        <v>#DIV/0!</v>
      </c>
      <c r="G27" s="226"/>
      <c r="H27" s="70"/>
      <c r="I27" s="30" t="s">
        <v>55</v>
      </c>
      <c r="J27" s="13">
        <f>'BILANS 2024'!K27</f>
        <v>0</v>
      </c>
      <c r="K27" s="484"/>
      <c r="L27" s="165">
        <f t="shared" si="2"/>
        <v>0</v>
      </c>
      <c r="M27" s="166" t="e">
        <f t="shared" si="3"/>
        <v>#DIV/0!</v>
      </c>
    </row>
    <row r="28" spans="1:13" ht="15.75" thickBot="1">
      <c r="A28" s="21">
        <v>1</v>
      </c>
      <c r="B28" s="185" t="s">
        <v>54</v>
      </c>
      <c r="C28" s="22">
        <f>'BILANS 2024'!D28</f>
        <v>0</v>
      </c>
      <c r="D28" s="488"/>
      <c r="E28" s="229">
        <f t="shared" si="0"/>
        <v>0</v>
      </c>
      <c r="F28" s="181" t="e">
        <f t="shared" si="1"/>
        <v>#DIV/0!</v>
      </c>
      <c r="G28" s="226"/>
      <c r="H28" s="70"/>
      <c r="I28" s="30" t="s">
        <v>56</v>
      </c>
      <c r="J28" s="15">
        <f>'BILANS 2024'!K28</f>
        <v>3000000</v>
      </c>
      <c r="K28" s="486">
        <v>2000000</v>
      </c>
      <c r="L28" s="169">
        <f t="shared" si="2"/>
        <v>-1000000</v>
      </c>
      <c r="M28" s="170">
        <f t="shared" si="3"/>
        <v>-0.33333333333333331</v>
      </c>
    </row>
    <row r="29" spans="1:13">
      <c r="A29" s="21">
        <v>2</v>
      </c>
      <c r="B29" s="186" t="s">
        <v>206</v>
      </c>
      <c r="C29" s="22">
        <f>'BILANS 2024'!D29</f>
        <v>0</v>
      </c>
      <c r="D29" s="488"/>
      <c r="E29" s="230">
        <f t="shared" si="0"/>
        <v>0</v>
      </c>
      <c r="F29" s="182" t="e">
        <f t="shared" si="1"/>
        <v>#DIV/0!</v>
      </c>
      <c r="G29" s="226"/>
      <c r="H29" s="97" t="s">
        <v>11</v>
      </c>
      <c r="I29" s="28" t="s">
        <v>58</v>
      </c>
      <c r="J29" s="9">
        <f>'BILANS 2024'!K29</f>
        <v>1537020</v>
      </c>
      <c r="K29" s="82">
        <f>K30+K31+K32</f>
        <v>1183900</v>
      </c>
      <c r="L29" s="174">
        <f t="shared" si="2"/>
        <v>-353120</v>
      </c>
      <c r="M29" s="175">
        <f t="shared" si="3"/>
        <v>-0.22974326944346854</v>
      </c>
    </row>
    <row r="30" spans="1:13">
      <c r="A30" s="21">
        <v>3</v>
      </c>
      <c r="B30" s="186" t="s">
        <v>57</v>
      </c>
      <c r="C30" s="22">
        <f>'BILANS 2024'!D30</f>
        <v>0</v>
      </c>
      <c r="D30" s="488"/>
      <c r="E30" s="230">
        <f t="shared" si="0"/>
        <v>0</v>
      </c>
      <c r="F30" s="182" t="e">
        <f t="shared" si="1"/>
        <v>#DIV/0!</v>
      </c>
      <c r="G30" s="226"/>
      <c r="H30" s="70">
        <v>1</v>
      </c>
      <c r="I30" s="30" t="s">
        <v>60</v>
      </c>
      <c r="J30" s="13">
        <f>'BILANS 2024'!K30</f>
        <v>0</v>
      </c>
      <c r="K30" s="484"/>
      <c r="L30" s="163">
        <f t="shared" si="2"/>
        <v>0</v>
      </c>
      <c r="M30" s="164" t="e">
        <f t="shared" si="3"/>
        <v>#DIV/0!</v>
      </c>
    </row>
    <row r="31" spans="1:13" ht="30">
      <c r="A31" s="12" t="s">
        <v>21</v>
      </c>
      <c r="B31" s="188" t="s">
        <v>59</v>
      </c>
      <c r="C31" s="13">
        <f>'BILANS 2024'!D31</f>
        <v>0</v>
      </c>
      <c r="D31" s="83">
        <f>SUM(D32:D35)</f>
        <v>0</v>
      </c>
      <c r="E31" s="230">
        <f t="shared" si="0"/>
        <v>0</v>
      </c>
      <c r="F31" s="182" t="e">
        <f t="shared" si="1"/>
        <v>#DIV/0!</v>
      </c>
      <c r="G31" s="226"/>
      <c r="H31" s="151">
        <v>2</v>
      </c>
      <c r="I31" s="207" t="s">
        <v>62</v>
      </c>
      <c r="J31" s="208">
        <f>'BILANS 2024'!K31</f>
        <v>0</v>
      </c>
      <c r="K31" s="516"/>
      <c r="L31" s="169">
        <f t="shared" si="2"/>
        <v>0</v>
      </c>
      <c r="M31" s="170" t="e">
        <f t="shared" si="3"/>
        <v>#DIV/0!</v>
      </c>
    </row>
    <row r="32" spans="1:13">
      <c r="A32" s="12"/>
      <c r="B32" s="188" t="s">
        <v>61</v>
      </c>
      <c r="C32" s="13">
        <f>'BILANS 2024'!D32</f>
        <v>0</v>
      </c>
      <c r="D32" s="484"/>
      <c r="E32" s="230">
        <f t="shared" si="0"/>
        <v>0</v>
      </c>
      <c r="F32" s="182" t="e">
        <f t="shared" si="1"/>
        <v>#DIV/0!</v>
      </c>
      <c r="G32" s="226"/>
      <c r="H32" s="70">
        <v>3</v>
      </c>
      <c r="I32" s="30" t="s">
        <v>65</v>
      </c>
      <c r="J32" s="13">
        <f>'BILANS 2024'!K32</f>
        <v>1537020</v>
      </c>
      <c r="K32" s="173">
        <f>SUM(K33:K37)</f>
        <v>1183900</v>
      </c>
      <c r="L32" s="165">
        <f t="shared" si="2"/>
        <v>-353120</v>
      </c>
      <c r="M32" s="166">
        <f t="shared" si="3"/>
        <v>-0.22974326944346854</v>
      </c>
    </row>
    <row r="33" spans="1:13">
      <c r="A33" s="12"/>
      <c r="B33" s="188" t="s">
        <v>63</v>
      </c>
      <c r="C33" s="13">
        <f>'BILANS 2024'!D33</f>
        <v>0</v>
      </c>
      <c r="D33" s="484"/>
      <c r="E33" s="230">
        <f t="shared" si="0"/>
        <v>0</v>
      </c>
      <c r="F33" s="182" t="e">
        <f t="shared" si="1"/>
        <v>#DIV/0!</v>
      </c>
      <c r="G33" s="226"/>
      <c r="H33" s="70" t="s">
        <v>21</v>
      </c>
      <c r="I33" s="30" t="s">
        <v>67</v>
      </c>
      <c r="J33" s="13">
        <f>'BILANS 2024'!K33</f>
        <v>1371200</v>
      </c>
      <c r="K33" s="515">
        <v>1183900</v>
      </c>
      <c r="L33" s="165">
        <f t="shared" si="2"/>
        <v>-187300</v>
      </c>
      <c r="M33" s="166">
        <f t="shared" si="3"/>
        <v>-0.13659568261376895</v>
      </c>
    </row>
    <row r="34" spans="1:13">
      <c r="A34" s="12"/>
      <c r="B34" s="188" t="s">
        <v>64</v>
      </c>
      <c r="C34" s="13">
        <f>'BILANS 2024'!D34</f>
        <v>0</v>
      </c>
      <c r="D34" s="484"/>
      <c r="E34" s="230">
        <f t="shared" si="0"/>
        <v>0</v>
      </c>
      <c r="F34" s="182" t="e">
        <f t="shared" si="1"/>
        <v>#DIV/0!</v>
      </c>
      <c r="G34" s="226"/>
      <c r="H34" s="70" t="s">
        <v>24</v>
      </c>
      <c r="I34" s="30" t="s">
        <v>69</v>
      </c>
      <c r="J34" s="13">
        <f>'BILANS 2024'!K34</f>
        <v>0</v>
      </c>
      <c r="K34" s="484"/>
      <c r="L34" s="165">
        <f t="shared" si="2"/>
        <v>0</v>
      </c>
      <c r="M34" s="166" t="e">
        <f t="shared" si="3"/>
        <v>#DIV/0!</v>
      </c>
    </row>
    <row r="35" spans="1:13">
      <c r="A35" s="12"/>
      <c r="B35" s="30" t="s">
        <v>66</v>
      </c>
      <c r="C35" s="13">
        <f>'BILANS 2024'!D35</f>
        <v>0</v>
      </c>
      <c r="D35" s="484"/>
      <c r="E35" s="230">
        <f t="shared" si="0"/>
        <v>0</v>
      </c>
      <c r="F35" s="182" t="e">
        <f t="shared" si="1"/>
        <v>#DIV/0!</v>
      </c>
      <c r="G35" s="226"/>
      <c r="H35" s="70" t="s">
        <v>27</v>
      </c>
      <c r="I35" s="30" t="s">
        <v>70</v>
      </c>
      <c r="J35" s="13">
        <f>'BILANS 2024'!K35</f>
        <v>165820</v>
      </c>
      <c r="K35" s="484"/>
      <c r="L35" s="165">
        <f t="shared" si="2"/>
        <v>-165820</v>
      </c>
      <c r="M35" s="166">
        <f t="shared" si="3"/>
        <v>-1</v>
      </c>
    </row>
    <row r="36" spans="1:13" ht="30">
      <c r="A36" s="215" t="s">
        <v>24</v>
      </c>
      <c r="B36" s="207" t="s">
        <v>68</v>
      </c>
      <c r="C36" s="208">
        <f>'BILANS 2024'!D36</f>
        <v>0</v>
      </c>
      <c r="D36" s="228">
        <f>SUM(D37:D40)</f>
        <v>0</v>
      </c>
      <c r="E36" s="231">
        <f t="shared" si="0"/>
        <v>0</v>
      </c>
      <c r="F36" s="183" t="e">
        <f t="shared" si="1"/>
        <v>#DIV/0!</v>
      </c>
      <c r="G36" s="226"/>
      <c r="H36" s="70" t="s">
        <v>31</v>
      </c>
      <c r="I36" s="30" t="s">
        <v>71</v>
      </c>
      <c r="J36" s="13">
        <f>'BILANS 2024'!K36</f>
        <v>0</v>
      </c>
      <c r="K36" s="484"/>
      <c r="L36" s="165">
        <f t="shared" si="2"/>
        <v>0</v>
      </c>
      <c r="M36" s="166" t="e">
        <f t="shared" si="3"/>
        <v>#DIV/0!</v>
      </c>
    </row>
    <row r="37" spans="1:13" ht="15.75" thickBot="1">
      <c r="A37" s="69"/>
      <c r="B37" s="190" t="s">
        <v>61</v>
      </c>
      <c r="C37" s="32">
        <f>'BILANS 2024'!D37</f>
        <v>0</v>
      </c>
      <c r="D37" s="494"/>
      <c r="E37" s="230">
        <f t="shared" si="0"/>
        <v>0</v>
      </c>
      <c r="F37" s="182" t="e">
        <f t="shared" si="1"/>
        <v>#DIV/0!</v>
      </c>
      <c r="G37" s="226"/>
      <c r="H37" s="70" t="s">
        <v>35</v>
      </c>
      <c r="I37" s="30" t="s">
        <v>72</v>
      </c>
      <c r="J37" s="15">
        <f>'BILANS 2024'!K37</f>
        <v>0</v>
      </c>
      <c r="K37" s="486"/>
      <c r="L37" s="169">
        <f t="shared" si="2"/>
        <v>0</v>
      </c>
      <c r="M37" s="170" t="e">
        <f t="shared" si="3"/>
        <v>#DIV/0!</v>
      </c>
    </row>
    <row r="38" spans="1:13">
      <c r="A38" s="69"/>
      <c r="B38" s="190" t="s">
        <v>63</v>
      </c>
      <c r="C38" s="32">
        <f>'BILANS 2024'!D38</f>
        <v>0</v>
      </c>
      <c r="D38" s="494"/>
      <c r="E38" s="230">
        <f t="shared" si="0"/>
        <v>0</v>
      </c>
      <c r="F38" s="182" t="e">
        <f t="shared" si="1"/>
        <v>#DIV/0!</v>
      </c>
      <c r="G38" s="226"/>
      <c r="H38" s="97" t="s">
        <v>16</v>
      </c>
      <c r="I38" s="28" t="s">
        <v>73</v>
      </c>
      <c r="J38" s="9">
        <f>'BILANS 2024'!K38</f>
        <v>30914440</v>
      </c>
      <c r="K38" s="82">
        <f>K39+K49+K61</f>
        <v>31853120</v>
      </c>
      <c r="L38" s="174">
        <f t="shared" si="2"/>
        <v>938680</v>
      </c>
      <c r="M38" s="175">
        <f t="shared" si="3"/>
        <v>3.0363804099314107E-2</v>
      </c>
    </row>
    <row r="39" spans="1:13">
      <c r="A39" s="69"/>
      <c r="B39" s="190" t="s">
        <v>64</v>
      </c>
      <c r="C39" s="32">
        <f>'BILANS 2024'!D39</f>
        <v>0</v>
      </c>
      <c r="D39" s="494"/>
      <c r="E39" s="230">
        <f t="shared" si="0"/>
        <v>0</v>
      </c>
      <c r="F39" s="182" t="e">
        <f t="shared" si="1"/>
        <v>#DIV/0!</v>
      </c>
      <c r="G39" s="226"/>
      <c r="H39" s="70">
        <v>1</v>
      </c>
      <c r="I39" s="30" t="s">
        <v>60</v>
      </c>
      <c r="J39" s="13">
        <f>'BILANS 2024'!K39</f>
        <v>0</v>
      </c>
      <c r="K39" s="173">
        <f>K40+K43</f>
        <v>0</v>
      </c>
      <c r="L39" s="163">
        <f t="shared" si="2"/>
        <v>0</v>
      </c>
      <c r="M39" s="164" t="e">
        <f t="shared" si="3"/>
        <v>#DIV/0!</v>
      </c>
    </row>
    <row r="40" spans="1:13">
      <c r="A40" s="69"/>
      <c r="B40" s="33" t="s">
        <v>66</v>
      </c>
      <c r="C40" s="32">
        <f>'BILANS 2024'!D40</f>
        <v>0</v>
      </c>
      <c r="D40" s="494"/>
      <c r="E40" s="230">
        <f t="shared" si="0"/>
        <v>0</v>
      </c>
      <c r="F40" s="182" t="e">
        <f t="shared" si="1"/>
        <v>#DIV/0!</v>
      </c>
      <c r="G40" s="226"/>
      <c r="H40" s="70" t="s">
        <v>21</v>
      </c>
      <c r="I40" s="30" t="s">
        <v>75</v>
      </c>
      <c r="J40" s="13">
        <f>'BILANS 2024'!K40</f>
        <v>0</v>
      </c>
      <c r="K40" s="173">
        <f>K41+K42</f>
        <v>0</v>
      </c>
      <c r="L40" s="165">
        <f t="shared" si="2"/>
        <v>0</v>
      </c>
      <c r="M40" s="166" t="e">
        <f t="shared" si="3"/>
        <v>#DIV/0!</v>
      </c>
    </row>
    <row r="41" spans="1:13">
      <c r="A41" s="12" t="s">
        <v>27</v>
      </c>
      <c r="B41" s="188" t="s">
        <v>74</v>
      </c>
      <c r="C41" s="13">
        <f>'BILANS 2024'!D41</f>
        <v>0</v>
      </c>
      <c r="D41" s="83">
        <f>SUM(D42:D45)</f>
        <v>0</v>
      </c>
      <c r="E41" s="230">
        <f t="shared" si="0"/>
        <v>0</v>
      </c>
      <c r="F41" s="182" t="e">
        <f t="shared" si="1"/>
        <v>#DIV/0!</v>
      </c>
      <c r="G41" s="226"/>
      <c r="H41" s="70"/>
      <c r="I41" s="29" t="s">
        <v>76</v>
      </c>
      <c r="J41" s="13">
        <f>'BILANS 2024'!K41</f>
        <v>0</v>
      </c>
      <c r="K41" s="515"/>
      <c r="L41" s="165">
        <f t="shared" si="2"/>
        <v>0</v>
      </c>
      <c r="M41" s="166" t="e">
        <f t="shared" si="3"/>
        <v>#DIV/0!</v>
      </c>
    </row>
    <row r="42" spans="1:13">
      <c r="A42" s="12"/>
      <c r="B42" s="188" t="s">
        <v>61</v>
      </c>
      <c r="C42" s="13">
        <f>'BILANS 2024'!D42</f>
        <v>0</v>
      </c>
      <c r="D42" s="484"/>
      <c r="E42" s="230">
        <f t="shared" si="0"/>
        <v>0</v>
      </c>
      <c r="F42" s="182" t="e">
        <f t="shared" si="1"/>
        <v>#DIV/0!</v>
      </c>
      <c r="G42" s="226"/>
      <c r="H42" s="70"/>
      <c r="I42" s="29" t="s">
        <v>77</v>
      </c>
      <c r="J42" s="13">
        <f>'BILANS 2024'!K42</f>
        <v>0</v>
      </c>
      <c r="K42" s="515"/>
      <c r="L42" s="165">
        <f t="shared" si="2"/>
        <v>0</v>
      </c>
      <c r="M42" s="166" t="e">
        <f t="shared" si="3"/>
        <v>#DIV/0!</v>
      </c>
    </row>
    <row r="43" spans="1:13">
      <c r="A43" s="12"/>
      <c r="B43" s="188" t="s">
        <v>63</v>
      </c>
      <c r="C43" s="13">
        <f>'BILANS 2024'!D43</f>
        <v>0</v>
      </c>
      <c r="D43" s="484"/>
      <c r="E43" s="230">
        <f t="shared" si="0"/>
        <v>0</v>
      </c>
      <c r="F43" s="182" t="e">
        <f t="shared" si="1"/>
        <v>#DIV/0!</v>
      </c>
      <c r="G43" s="226"/>
      <c r="H43" s="70" t="s">
        <v>24</v>
      </c>
      <c r="I43" s="30" t="s">
        <v>78</v>
      </c>
      <c r="J43" s="13">
        <f>'BILANS 2024'!K43</f>
        <v>0</v>
      </c>
      <c r="K43" s="515"/>
      <c r="L43" s="165">
        <f t="shared" si="2"/>
        <v>0</v>
      </c>
      <c r="M43" s="166" t="e">
        <f t="shared" si="3"/>
        <v>#DIV/0!</v>
      </c>
    </row>
    <row r="44" spans="1:13" ht="30">
      <c r="A44" s="12"/>
      <c r="B44" s="188" t="s">
        <v>64</v>
      </c>
      <c r="C44" s="13">
        <f>'BILANS 2024'!D44</f>
        <v>0</v>
      </c>
      <c r="D44" s="484"/>
      <c r="E44" s="230">
        <f t="shared" si="0"/>
        <v>0</v>
      </c>
      <c r="F44" s="182" t="e">
        <f t="shared" si="1"/>
        <v>#DIV/0!</v>
      </c>
      <c r="G44" s="226"/>
      <c r="H44" s="151">
        <v>2</v>
      </c>
      <c r="I44" s="207" t="s">
        <v>62</v>
      </c>
      <c r="J44" s="208">
        <f>'BILANS 2024'!K44</f>
        <v>0</v>
      </c>
      <c r="K44" s="216">
        <f>K45+K48</f>
        <v>0</v>
      </c>
      <c r="L44" s="169">
        <f>K44-J44</f>
        <v>0</v>
      </c>
      <c r="M44" s="170" t="e">
        <f>L44/J44</f>
        <v>#DIV/0!</v>
      </c>
    </row>
    <row r="45" spans="1:13">
      <c r="A45" s="12"/>
      <c r="B45" s="30" t="s">
        <v>66</v>
      </c>
      <c r="C45" s="13">
        <f>'BILANS 2024'!D45</f>
        <v>0</v>
      </c>
      <c r="D45" s="484"/>
      <c r="E45" s="230">
        <f t="shared" si="0"/>
        <v>0</v>
      </c>
      <c r="F45" s="182" t="e">
        <f t="shared" si="1"/>
        <v>#DIV/0!</v>
      </c>
      <c r="G45" s="226"/>
      <c r="H45" s="219" t="s">
        <v>21</v>
      </c>
      <c r="I45" s="33" t="s">
        <v>75</v>
      </c>
      <c r="J45" s="32">
        <f>'BILANS 2024'!K45</f>
        <v>0</v>
      </c>
      <c r="K45" s="176">
        <f>K46+K47</f>
        <v>0</v>
      </c>
      <c r="L45" s="165">
        <f t="shared" si="2"/>
        <v>0</v>
      </c>
      <c r="M45" s="166" t="e">
        <f t="shared" si="3"/>
        <v>#DIV/0!</v>
      </c>
    </row>
    <row r="46" spans="1:13" ht="15.75" thickBot="1">
      <c r="A46" s="24">
        <v>4</v>
      </c>
      <c r="B46" s="191" t="s">
        <v>79</v>
      </c>
      <c r="C46" s="25">
        <f>'BILANS 2024'!D46</f>
        <v>0</v>
      </c>
      <c r="D46" s="490"/>
      <c r="E46" s="231">
        <f t="shared" si="0"/>
        <v>0</v>
      </c>
      <c r="F46" s="183" t="e">
        <f t="shared" si="1"/>
        <v>#DIV/0!</v>
      </c>
      <c r="G46" s="226"/>
      <c r="H46" s="219"/>
      <c r="I46" s="31" t="s">
        <v>76</v>
      </c>
      <c r="J46" s="32">
        <f>'BILANS 2024'!K46</f>
        <v>0</v>
      </c>
      <c r="K46" s="517"/>
      <c r="L46" s="165">
        <f t="shared" si="2"/>
        <v>0</v>
      </c>
      <c r="M46" s="166" t="e">
        <f t="shared" si="3"/>
        <v>#DIV/0!</v>
      </c>
    </row>
    <row r="47" spans="1:13">
      <c r="A47" s="8" t="s">
        <v>80</v>
      </c>
      <c r="B47" s="28" t="s">
        <v>81</v>
      </c>
      <c r="C47" s="9">
        <f>'BILANS 2024'!D47</f>
        <v>0</v>
      </c>
      <c r="D47" s="82">
        <f>D48+D49</f>
        <v>0</v>
      </c>
      <c r="E47" s="9">
        <f t="shared" si="0"/>
        <v>0</v>
      </c>
      <c r="F47" s="157" t="e">
        <f t="shared" si="1"/>
        <v>#DIV/0!</v>
      </c>
      <c r="G47" s="226"/>
      <c r="H47" s="219"/>
      <c r="I47" s="31" t="s">
        <v>77</v>
      </c>
      <c r="J47" s="32">
        <f>'BILANS 2024'!K47</f>
        <v>0</v>
      </c>
      <c r="K47" s="517"/>
      <c r="L47" s="165">
        <f t="shared" si="2"/>
        <v>0</v>
      </c>
      <c r="M47" s="166" t="e">
        <f t="shared" si="3"/>
        <v>#DIV/0!</v>
      </c>
    </row>
    <row r="48" spans="1:13" ht="30">
      <c r="A48" s="12">
        <v>1</v>
      </c>
      <c r="B48" s="30" t="s">
        <v>82</v>
      </c>
      <c r="C48" s="13">
        <f>'BILANS 2024'!D48</f>
        <v>0</v>
      </c>
      <c r="D48" s="484"/>
      <c r="E48" s="229">
        <f t="shared" si="0"/>
        <v>0</v>
      </c>
      <c r="F48" s="181" t="e">
        <f t="shared" si="1"/>
        <v>#DIV/0!</v>
      </c>
      <c r="G48" s="226"/>
      <c r="H48" s="219" t="s">
        <v>24</v>
      </c>
      <c r="I48" s="33" t="s">
        <v>78</v>
      </c>
      <c r="J48" s="32">
        <f>'BILANS 2024'!K48</f>
        <v>0</v>
      </c>
      <c r="K48" s="517"/>
      <c r="L48" s="165">
        <f t="shared" si="2"/>
        <v>0</v>
      </c>
      <c r="M48" s="166" t="e">
        <f t="shared" si="3"/>
        <v>#DIV/0!</v>
      </c>
    </row>
    <row r="49" spans="1:13" ht="15.75" thickBot="1">
      <c r="A49" s="14">
        <v>2</v>
      </c>
      <c r="B49" s="40" t="s">
        <v>83</v>
      </c>
      <c r="C49" s="15">
        <f>'BILANS 2024'!D49</f>
        <v>0</v>
      </c>
      <c r="D49" s="486"/>
      <c r="E49" s="231">
        <f t="shared" si="0"/>
        <v>0</v>
      </c>
      <c r="F49" s="183" t="e">
        <f t="shared" si="1"/>
        <v>#DIV/0!</v>
      </c>
      <c r="G49" s="226"/>
      <c r="H49" s="70">
        <v>3</v>
      </c>
      <c r="I49" s="30" t="s">
        <v>65</v>
      </c>
      <c r="J49" s="13">
        <f>'BILANS 2024'!K49</f>
        <v>28514440</v>
      </c>
      <c r="K49" s="173">
        <f>K50+K51+K52+K53+K56+K57+K58+K59+K60</f>
        <v>29353120</v>
      </c>
      <c r="L49" s="165">
        <f t="shared" si="2"/>
        <v>838680</v>
      </c>
      <c r="M49" s="166">
        <f t="shared" si="3"/>
        <v>2.9412466104892818E-2</v>
      </c>
    </row>
    <row r="50" spans="1:13">
      <c r="A50" s="34" t="s">
        <v>41</v>
      </c>
      <c r="B50" s="192" t="s">
        <v>84</v>
      </c>
      <c r="C50" s="35">
        <f>'BILANS 2024'!D50</f>
        <v>57806000</v>
      </c>
      <c r="D50" s="267">
        <f>D51+D57+D75+D92</f>
        <v>61543000</v>
      </c>
      <c r="E50" s="35">
        <f t="shared" si="0"/>
        <v>3737000</v>
      </c>
      <c r="F50" s="156">
        <f t="shared" si="1"/>
        <v>6.4647268449641901E-2</v>
      </c>
      <c r="G50" s="226"/>
      <c r="H50" s="70" t="s">
        <v>21</v>
      </c>
      <c r="I50" s="30" t="s">
        <v>67</v>
      </c>
      <c r="J50" s="13">
        <f>'BILANS 2024'!K50</f>
        <v>189900</v>
      </c>
      <c r="K50" s="515">
        <v>187300</v>
      </c>
      <c r="L50" s="165">
        <f t="shared" si="2"/>
        <v>-2600</v>
      </c>
      <c r="M50" s="166">
        <f t="shared" si="3"/>
        <v>-1.369141653501843E-2</v>
      </c>
    </row>
    <row r="51" spans="1:13" ht="15.75" thickBot="1">
      <c r="A51" s="36" t="s">
        <v>8</v>
      </c>
      <c r="B51" s="193" t="s">
        <v>85</v>
      </c>
      <c r="C51" s="37">
        <f>'BILANS 2024'!D51</f>
        <v>691000</v>
      </c>
      <c r="D51" s="88">
        <f>D52+D53+D54+D55+D56</f>
        <v>713000</v>
      </c>
      <c r="E51" s="232">
        <f t="shared" si="0"/>
        <v>22000</v>
      </c>
      <c r="F51" s="155">
        <f t="shared" si="1"/>
        <v>3.1837916063675829E-2</v>
      </c>
      <c r="G51" s="226"/>
      <c r="H51" s="70" t="s">
        <v>24</v>
      </c>
      <c r="I51" s="30" t="s">
        <v>69</v>
      </c>
      <c r="J51" s="13">
        <f>'BILANS 2024'!K51</f>
        <v>0</v>
      </c>
      <c r="K51" s="515"/>
      <c r="L51" s="165">
        <f t="shared" si="2"/>
        <v>0</v>
      </c>
      <c r="M51" s="166" t="e">
        <f t="shared" si="3"/>
        <v>#DIV/0!</v>
      </c>
    </row>
    <row r="52" spans="1:13">
      <c r="A52" s="38">
        <v>1</v>
      </c>
      <c r="B52" s="66" t="s">
        <v>86</v>
      </c>
      <c r="C52" s="39">
        <f>'BILANS 2024'!D52</f>
        <v>630000</v>
      </c>
      <c r="D52" s="496">
        <v>650000</v>
      </c>
      <c r="E52" s="229">
        <f t="shared" si="0"/>
        <v>20000</v>
      </c>
      <c r="F52" s="181">
        <f t="shared" si="1"/>
        <v>3.1746031746031744E-2</v>
      </c>
      <c r="G52" s="226"/>
      <c r="H52" s="70" t="s">
        <v>27</v>
      </c>
      <c r="I52" s="30" t="s">
        <v>70</v>
      </c>
      <c r="J52" s="13">
        <f>'BILANS 2024'!K52</f>
        <v>124540</v>
      </c>
      <c r="K52" s="515">
        <v>165820</v>
      </c>
      <c r="L52" s="165">
        <f t="shared" si="2"/>
        <v>41280</v>
      </c>
      <c r="M52" s="166">
        <f t="shared" si="3"/>
        <v>0.33145977196081577</v>
      </c>
    </row>
    <row r="53" spans="1:13">
      <c r="A53" s="12">
        <v>2</v>
      </c>
      <c r="B53" s="30" t="s">
        <v>87</v>
      </c>
      <c r="C53" s="13">
        <f>'BILANS 2024'!D53</f>
        <v>0</v>
      </c>
      <c r="D53" s="484"/>
      <c r="E53" s="230">
        <f t="shared" si="0"/>
        <v>0</v>
      </c>
      <c r="F53" s="182" t="e">
        <f t="shared" si="1"/>
        <v>#DIV/0!</v>
      </c>
      <c r="G53" s="226"/>
      <c r="H53" s="220" t="s">
        <v>31</v>
      </c>
      <c r="I53" s="177" t="s">
        <v>75</v>
      </c>
      <c r="J53" s="154">
        <f>'BILANS 2024'!K53</f>
        <v>6600000</v>
      </c>
      <c r="K53" s="178">
        <f>K54+K55</f>
        <v>6800000</v>
      </c>
      <c r="L53" s="163">
        <f t="shared" si="2"/>
        <v>200000</v>
      </c>
      <c r="M53" s="164">
        <f t="shared" si="3"/>
        <v>3.0303030303030304E-2</v>
      </c>
    </row>
    <row r="54" spans="1:13">
      <c r="A54" s="12">
        <v>3</v>
      </c>
      <c r="B54" s="30" t="s">
        <v>88</v>
      </c>
      <c r="C54" s="13">
        <f>'BILANS 2024'!D54</f>
        <v>0</v>
      </c>
      <c r="D54" s="484"/>
      <c r="E54" s="230">
        <f t="shared" si="0"/>
        <v>0</v>
      </c>
      <c r="F54" s="182" t="e">
        <f t="shared" si="1"/>
        <v>#DIV/0!</v>
      </c>
      <c r="G54" s="226"/>
      <c r="H54" s="70"/>
      <c r="I54" s="29" t="s">
        <v>76</v>
      </c>
      <c r="J54" s="13">
        <f>'BILANS 2024'!K54</f>
        <v>6600000</v>
      </c>
      <c r="K54" s="484">
        <v>6800000</v>
      </c>
      <c r="L54" s="165">
        <f t="shared" si="2"/>
        <v>200000</v>
      </c>
      <c r="M54" s="166">
        <f t="shared" si="3"/>
        <v>3.0303030303030304E-2</v>
      </c>
    </row>
    <row r="55" spans="1:13">
      <c r="A55" s="198">
        <v>4</v>
      </c>
      <c r="B55" s="177" t="s">
        <v>89</v>
      </c>
      <c r="C55" s="154">
        <f>'BILANS 2024'!D55</f>
        <v>61000</v>
      </c>
      <c r="D55" s="498">
        <v>63000</v>
      </c>
      <c r="E55" s="230">
        <f t="shared" si="0"/>
        <v>2000</v>
      </c>
      <c r="F55" s="182">
        <f t="shared" si="1"/>
        <v>3.2786885245901641E-2</v>
      </c>
      <c r="G55" s="226"/>
      <c r="H55" s="70"/>
      <c r="I55" s="29" t="s">
        <v>77</v>
      </c>
      <c r="J55" s="13">
        <f>'BILANS 2024'!K55</f>
        <v>0</v>
      </c>
      <c r="K55" s="484"/>
      <c r="L55" s="165">
        <f t="shared" si="2"/>
        <v>0</v>
      </c>
      <c r="M55" s="166" t="e">
        <f t="shared" si="3"/>
        <v>#DIV/0!</v>
      </c>
    </row>
    <row r="56" spans="1:13" ht="15.75" thickBot="1">
      <c r="A56" s="14">
        <v>5</v>
      </c>
      <c r="B56" s="194" t="s">
        <v>90</v>
      </c>
      <c r="C56" s="15">
        <f>'BILANS 2024'!D56</f>
        <v>0</v>
      </c>
      <c r="D56" s="486"/>
      <c r="E56" s="231">
        <f t="shared" si="0"/>
        <v>0</v>
      </c>
      <c r="F56" s="183" t="e">
        <f t="shared" si="1"/>
        <v>#DIV/0!</v>
      </c>
      <c r="G56" s="226"/>
      <c r="H56" s="70" t="s">
        <v>35</v>
      </c>
      <c r="I56" s="30" t="s">
        <v>93</v>
      </c>
      <c r="J56" s="13">
        <f>'BILANS 2024'!K56</f>
        <v>0</v>
      </c>
      <c r="K56" s="498"/>
      <c r="L56" s="165">
        <f t="shared" si="2"/>
        <v>0</v>
      </c>
      <c r="M56" s="166" t="e">
        <f t="shared" si="3"/>
        <v>#DIV/0!</v>
      </c>
    </row>
    <row r="57" spans="1:13">
      <c r="A57" s="18" t="s">
        <v>11</v>
      </c>
      <c r="B57" s="184" t="s">
        <v>91</v>
      </c>
      <c r="C57" s="9">
        <f>'BILANS 2024'!D57</f>
        <v>2980000</v>
      </c>
      <c r="D57" s="82">
        <f>D58+D63+D68</f>
        <v>3200000</v>
      </c>
      <c r="E57" s="9">
        <f t="shared" si="0"/>
        <v>220000</v>
      </c>
      <c r="F57" s="157">
        <f t="shared" si="1"/>
        <v>7.3825503355704702E-2</v>
      </c>
      <c r="G57" s="226"/>
      <c r="H57" s="70" t="s">
        <v>95</v>
      </c>
      <c r="I57" s="30" t="s">
        <v>71</v>
      </c>
      <c r="J57" s="13">
        <f>'BILANS 2024'!K57</f>
        <v>0</v>
      </c>
      <c r="K57" s="484"/>
      <c r="L57" s="165">
        <f t="shared" si="2"/>
        <v>0</v>
      </c>
      <c r="M57" s="166" t="e">
        <f t="shared" si="3"/>
        <v>#DIV/0!</v>
      </c>
    </row>
    <row r="58" spans="1:13" ht="30">
      <c r="A58" s="21">
        <v>1</v>
      </c>
      <c r="B58" s="186" t="s">
        <v>92</v>
      </c>
      <c r="C58" s="22">
        <f>'BILANS 2024'!D58</f>
        <v>0</v>
      </c>
      <c r="D58" s="85">
        <f>D59+D62</f>
        <v>0</v>
      </c>
      <c r="E58" s="229">
        <f t="shared" si="0"/>
        <v>0</v>
      </c>
      <c r="F58" s="181" t="e">
        <f t="shared" si="1"/>
        <v>#DIV/0!</v>
      </c>
      <c r="G58" s="226"/>
      <c r="H58" s="70" t="s">
        <v>96</v>
      </c>
      <c r="I58" s="33" t="s">
        <v>97</v>
      </c>
      <c r="J58" s="13">
        <f>'BILANS 2024'!K58</f>
        <v>9000000</v>
      </c>
      <c r="K58" s="484">
        <v>9200000</v>
      </c>
      <c r="L58" s="165">
        <f t="shared" si="2"/>
        <v>200000</v>
      </c>
      <c r="M58" s="166">
        <f t="shared" si="3"/>
        <v>2.2222222222222223E-2</v>
      </c>
    </row>
    <row r="59" spans="1:13">
      <c r="A59" s="12" t="s">
        <v>21</v>
      </c>
      <c r="B59" s="30" t="s">
        <v>94</v>
      </c>
      <c r="C59" s="13">
        <f>'BILANS 2024'!D59</f>
        <v>0</v>
      </c>
      <c r="D59" s="83">
        <f>D60+D61</f>
        <v>0</v>
      </c>
      <c r="E59" s="230">
        <f t="shared" si="0"/>
        <v>0</v>
      </c>
      <c r="F59" s="182" t="e">
        <f t="shared" si="1"/>
        <v>#DIV/0!</v>
      </c>
      <c r="G59" s="226"/>
      <c r="H59" s="70" t="s">
        <v>98</v>
      </c>
      <c r="I59" s="30" t="s">
        <v>99</v>
      </c>
      <c r="J59" s="13">
        <f>'BILANS 2024'!K59</f>
        <v>7100000</v>
      </c>
      <c r="K59" s="484">
        <v>7300000</v>
      </c>
      <c r="L59" s="165">
        <f t="shared" si="2"/>
        <v>200000</v>
      </c>
      <c r="M59" s="166">
        <f t="shared" si="3"/>
        <v>2.8169014084507043E-2</v>
      </c>
    </row>
    <row r="60" spans="1:13">
      <c r="A60" s="12"/>
      <c r="B60" s="188" t="s">
        <v>76</v>
      </c>
      <c r="C60" s="13">
        <f>'BILANS 2024'!D60</f>
        <v>0</v>
      </c>
      <c r="D60" s="484"/>
      <c r="E60" s="230">
        <f t="shared" si="0"/>
        <v>0</v>
      </c>
      <c r="F60" s="182" t="e">
        <f t="shared" si="1"/>
        <v>#DIV/0!</v>
      </c>
      <c r="G60" s="226"/>
      <c r="H60" s="70" t="s">
        <v>100</v>
      </c>
      <c r="I60" s="30" t="s">
        <v>78</v>
      </c>
      <c r="J60" s="13">
        <f>'BILANS 2024'!K60</f>
        <v>5500000</v>
      </c>
      <c r="K60" s="484">
        <v>5700000</v>
      </c>
      <c r="L60" s="165">
        <f t="shared" si="2"/>
        <v>200000</v>
      </c>
      <c r="M60" s="166">
        <f t="shared" si="3"/>
        <v>3.6363636363636362E-2</v>
      </c>
    </row>
    <row r="61" spans="1:13" ht="15.75" thickBot="1">
      <c r="A61" s="12"/>
      <c r="B61" s="188" t="s">
        <v>77</v>
      </c>
      <c r="C61" s="13">
        <f>'BILANS 2024'!D61</f>
        <v>0</v>
      </c>
      <c r="D61" s="484"/>
      <c r="E61" s="230">
        <f t="shared" si="0"/>
        <v>0</v>
      </c>
      <c r="F61" s="182" t="e">
        <f t="shared" si="1"/>
        <v>#DIV/0!</v>
      </c>
      <c r="G61" s="226"/>
      <c r="H61" s="70">
        <v>4</v>
      </c>
      <c r="I61" s="30" t="s">
        <v>102</v>
      </c>
      <c r="J61" s="15">
        <f>'BILANS 2024'!K61</f>
        <v>2400000</v>
      </c>
      <c r="K61" s="486">
        <v>2500000</v>
      </c>
      <c r="L61" s="169">
        <f t="shared" si="2"/>
        <v>100000</v>
      </c>
      <c r="M61" s="170">
        <f t="shared" si="3"/>
        <v>4.1666666666666664E-2</v>
      </c>
    </row>
    <row r="62" spans="1:13">
      <c r="A62" s="12" t="s">
        <v>24</v>
      </c>
      <c r="B62" s="30" t="s">
        <v>78</v>
      </c>
      <c r="C62" s="13">
        <f>'BILANS 2024'!D62</f>
        <v>0</v>
      </c>
      <c r="D62" s="484"/>
      <c r="E62" s="230">
        <f t="shared" si="0"/>
        <v>0</v>
      </c>
      <c r="F62" s="182" t="e">
        <f t="shared" si="1"/>
        <v>#DIV/0!</v>
      </c>
      <c r="G62" s="226"/>
      <c r="H62" s="97" t="s">
        <v>20</v>
      </c>
      <c r="I62" s="28" t="s">
        <v>103</v>
      </c>
      <c r="J62" s="9">
        <f>'BILANS 2024'!K62</f>
        <v>9867062</v>
      </c>
      <c r="K62" s="82">
        <f>K63+K64</f>
        <v>7221727</v>
      </c>
      <c r="L62" s="174">
        <f t="shared" si="2"/>
        <v>-2645335</v>
      </c>
      <c r="M62" s="175">
        <f t="shared" si="3"/>
        <v>-0.26809753501092826</v>
      </c>
    </row>
    <row r="63" spans="1:13" ht="30">
      <c r="A63" s="67">
        <v>2</v>
      </c>
      <c r="B63" s="195" t="s">
        <v>101</v>
      </c>
      <c r="C63" s="68">
        <f>'BILANS 2024'!D63</f>
        <v>0</v>
      </c>
      <c r="D63" s="90">
        <f>D64+D67</f>
        <v>0</v>
      </c>
      <c r="E63" s="230">
        <f t="shared" si="0"/>
        <v>0</v>
      </c>
      <c r="F63" s="182" t="e">
        <f t="shared" si="1"/>
        <v>#DIV/0!</v>
      </c>
      <c r="G63" s="226"/>
      <c r="H63" s="70">
        <v>1</v>
      </c>
      <c r="I63" s="30" t="s">
        <v>104</v>
      </c>
      <c r="J63" s="13">
        <f>'BILANS 2024'!K63</f>
        <v>0</v>
      </c>
      <c r="K63" s="484"/>
      <c r="L63" s="163">
        <f t="shared" si="2"/>
        <v>0</v>
      </c>
      <c r="M63" s="164" t="e">
        <f t="shared" si="3"/>
        <v>#DIV/0!</v>
      </c>
    </row>
    <row r="64" spans="1:13">
      <c r="A64" s="69" t="s">
        <v>21</v>
      </c>
      <c r="B64" s="33" t="s">
        <v>94</v>
      </c>
      <c r="C64" s="32">
        <f>'BILANS 2024'!D64</f>
        <v>0</v>
      </c>
      <c r="D64" s="87">
        <f>D65+D66</f>
        <v>0</v>
      </c>
      <c r="E64" s="230">
        <f t="shared" si="0"/>
        <v>0</v>
      </c>
      <c r="F64" s="182" t="e">
        <f t="shared" si="1"/>
        <v>#DIV/0!</v>
      </c>
      <c r="G64" s="226"/>
      <c r="H64" s="70">
        <v>2</v>
      </c>
      <c r="I64" s="30" t="s">
        <v>83</v>
      </c>
      <c r="J64" s="13">
        <f>'BILANS 2024'!K64</f>
        <v>9867062</v>
      </c>
      <c r="K64" s="173">
        <f>K65+K66</f>
        <v>7221727</v>
      </c>
      <c r="L64" s="165">
        <f t="shared" si="2"/>
        <v>-2645335</v>
      </c>
      <c r="M64" s="166">
        <f t="shared" si="3"/>
        <v>-0.26809753501092826</v>
      </c>
    </row>
    <row r="65" spans="1:13">
      <c r="A65" s="69"/>
      <c r="B65" s="190" t="s">
        <v>76</v>
      </c>
      <c r="C65" s="32">
        <f>'BILANS 2024'!D65</f>
        <v>0</v>
      </c>
      <c r="D65" s="494"/>
      <c r="E65" s="230">
        <f t="shared" si="0"/>
        <v>0</v>
      </c>
      <c r="F65" s="182" t="e">
        <f t="shared" si="1"/>
        <v>#DIV/0!</v>
      </c>
      <c r="G65" s="226"/>
      <c r="H65" s="70"/>
      <c r="I65" s="30" t="s">
        <v>55</v>
      </c>
      <c r="J65" s="13">
        <f>'BILANS 2024'!K65</f>
        <v>7221727</v>
      </c>
      <c r="K65" s="484">
        <v>4576392</v>
      </c>
      <c r="L65" s="165">
        <f t="shared" si="2"/>
        <v>-2645335</v>
      </c>
      <c r="M65" s="166">
        <f t="shared" si="3"/>
        <v>-0.36630227091109924</v>
      </c>
    </row>
    <row r="66" spans="1:13">
      <c r="A66" s="69"/>
      <c r="B66" s="190" t="s">
        <v>77</v>
      </c>
      <c r="C66" s="32">
        <f>'BILANS 2024'!D66</f>
        <v>0</v>
      </c>
      <c r="D66" s="494"/>
      <c r="E66" s="230">
        <f t="shared" si="0"/>
        <v>0</v>
      </c>
      <c r="F66" s="182" t="e">
        <f t="shared" si="1"/>
        <v>#DIV/0!</v>
      </c>
      <c r="G66" s="226"/>
      <c r="H66" s="70"/>
      <c r="I66" s="30" t="s">
        <v>56</v>
      </c>
      <c r="J66" s="13">
        <f>'BILANS 2024'!K66</f>
        <v>2645335</v>
      </c>
      <c r="K66" s="484">
        <v>2645335</v>
      </c>
      <c r="L66" s="165">
        <f t="shared" si="2"/>
        <v>0</v>
      </c>
      <c r="M66" s="166">
        <f t="shared" si="3"/>
        <v>0</v>
      </c>
    </row>
    <row r="67" spans="1:13">
      <c r="A67" s="69" t="s">
        <v>24</v>
      </c>
      <c r="B67" s="33" t="s">
        <v>78</v>
      </c>
      <c r="C67" s="32">
        <f>'BILANS 2024'!D67</f>
        <v>0</v>
      </c>
      <c r="D67" s="494"/>
      <c r="E67" s="230">
        <f t="shared" si="0"/>
        <v>0</v>
      </c>
      <c r="F67" s="182" t="e">
        <f t="shared" si="1"/>
        <v>#DIV/0!</v>
      </c>
      <c r="G67" s="226"/>
      <c r="H67" s="70"/>
      <c r="I67" s="30"/>
      <c r="J67" s="13"/>
      <c r="K67" s="484"/>
      <c r="L67" s="165"/>
      <c r="M67" s="166"/>
    </row>
    <row r="68" spans="1:13">
      <c r="A68" s="21">
        <v>3</v>
      </c>
      <c r="B68" s="186" t="s">
        <v>105</v>
      </c>
      <c r="C68" s="22">
        <f>'BILANS 2024'!D68</f>
        <v>2980000</v>
      </c>
      <c r="D68" s="85">
        <f>D69+D72+D73+D74</f>
        <v>3200000</v>
      </c>
      <c r="E68" s="230">
        <f t="shared" si="0"/>
        <v>220000</v>
      </c>
      <c r="F68" s="182">
        <f t="shared" si="1"/>
        <v>7.3825503355704702E-2</v>
      </c>
      <c r="G68" s="226"/>
      <c r="H68" s="70"/>
      <c r="I68" s="30"/>
      <c r="J68" s="13"/>
      <c r="K68" s="484"/>
      <c r="L68" s="165"/>
      <c r="M68" s="166"/>
    </row>
    <row r="69" spans="1:13">
      <c r="A69" s="12" t="s">
        <v>21</v>
      </c>
      <c r="B69" s="30" t="s">
        <v>94</v>
      </c>
      <c r="C69" s="13">
        <f>'BILANS 2024'!D69</f>
        <v>2500000</v>
      </c>
      <c r="D69" s="83">
        <f>D70+D71</f>
        <v>2700000</v>
      </c>
      <c r="E69" s="230">
        <f t="shared" si="0"/>
        <v>200000</v>
      </c>
      <c r="F69" s="182">
        <f t="shared" si="1"/>
        <v>0.08</v>
      </c>
      <c r="G69" s="226"/>
      <c r="H69" s="70"/>
      <c r="I69" s="30"/>
      <c r="J69" s="13"/>
      <c r="K69" s="484"/>
      <c r="L69" s="165"/>
      <c r="M69" s="166"/>
    </row>
    <row r="70" spans="1:13">
      <c r="A70" s="12"/>
      <c r="B70" s="188" t="s">
        <v>76</v>
      </c>
      <c r="C70" s="13">
        <f>'BILANS 2024'!D70</f>
        <v>2500000</v>
      </c>
      <c r="D70" s="484">
        <v>2700000</v>
      </c>
      <c r="E70" s="230">
        <f t="shared" si="0"/>
        <v>200000</v>
      </c>
      <c r="F70" s="182">
        <f t="shared" si="1"/>
        <v>0.08</v>
      </c>
      <c r="G70" s="226"/>
      <c r="H70" s="70"/>
      <c r="I70" s="30"/>
      <c r="J70" s="13"/>
      <c r="K70" s="484"/>
      <c r="L70" s="165"/>
      <c r="M70" s="166"/>
    </row>
    <row r="71" spans="1:13">
      <c r="A71" s="12"/>
      <c r="B71" s="188" t="s">
        <v>77</v>
      </c>
      <c r="C71" s="13">
        <f>'BILANS 2024'!D71</f>
        <v>0</v>
      </c>
      <c r="D71" s="484"/>
      <c r="E71" s="230">
        <f t="shared" ref="E71:E95" si="4">D71-C71</f>
        <v>0</v>
      </c>
      <c r="F71" s="182" t="e">
        <f t="shared" ref="F71:F95" si="5">E71/C71</f>
        <v>#DIV/0!</v>
      </c>
      <c r="G71" s="226"/>
      <c r="H71" s="70"/>
      <c r="I71" s="30"/>
      <c r="J71" s="13"/>
      <c r="K71" s="484"/>
      <c r="L71" s="165"/>
      <c r="M71" s="166"/>
    </row>
    <row r="72" spans="1:13" ht="30">
      <c r="A72" s="12" t="s">
        <v>24</v>
      </c>
      <c r="B72" s="30" t="s">
        <v>106</v>
      </c>
      <c r="C72" s="13">
        <f>'BILANS 2024'!D72</f>
        <v>0</v>
      </c>
      <c r="D72" s="484"/>
      <c r="E72" s="230">
        <f t="shared" si="4"/>
        <v>0</v>
      </c>
      <c r="F72" s="182" t="e">
        <f t="shared" si="5"/>
        <v>#DIV/0!</v>
      </c>
      <c r="G72" s="226"/>
      <c r="H72" s="70"/>
      <c r="I72" s="30"/>
      <c r="J72" s="13"/>
      <c r="K72" s="83"/>
      <c r="L72" s="165"/>
      <c r="M72" s="166"/>
    </row>
    <row r="73" spans="1:13">
      <c r="A73" s="12" t="s">
        <v>27</v>
      </c>
      <c r="B73" s="30" t="s">
        <v>78</v>
      </c>
      <c r="C73" s="13">
        <f>'BILANS 2024'!D73</f>
        <v>480000</v>
      </c>
      <c r="D73" s="484">
        <v>500000</v>
      </c>
      <c r="E73" s="230">
        <f t="shared" si="4"/>
        <v>20000</v>
      </c>
      <c r="F73" s="182">
        <f t="shared" si="5"/>
        <v>4.1666666666666664E-2</v>
      </c>
      <c r="G73" s="226"/>
      <c r="H73" s="70"/>
      <c r="I73" s="30"/>
      <c r="J73" s="13"/>
      <c r="K73" s="83"/>
      <c r="L73" s="165"/>
      <c r="M73" s="166"/>
    </row>
    <row r="74" spans="1:13" ht="15.75" thickBot="1">
      <c r="A74" s="223" t="s">
        <v>31</v>
      </c>
      <c r="B74" s="196" t="s">
        <v>107</v>
      </c>
      <c r="C74" s="15">
        <f>'BILANS 2024'!D74</f>
        <v>0</v>
      </c>
      <c r="D74" s="486"/>
      <c r="E74" s="231">
        <f t="shared" si="4"/>
        <v>0</v>
      </c>
      <c r="F74" s="183" t="e">
        <f t="shared" si="5"/>
        <v>#DIV/0!</v>
      </c>
      <c r="G74" s="226"/>
      <c r="H74" s="70"/>
      <c r="I74" s="30"/>
      <c r="J74" s="13"/>
      <c r="K74" s="83"/>
      <c r="L74" s="165"/>
      <c r="M74" s="166"/>
    </row>
    <row r="75" spans="1:13">
      <c r="A75" s="8" t="s">
        <v>16</v>
      </c>
      <c r="B75" s="28" t="s">
        <v>108</v>
      </c>
      <c r="C75" s="9">
        <f>'BILANS 2024'!D75</f>
        <v>54000000</v>
      </c>
      <c r="D75" s="82">
        <f>D76+D91</f>
        <v>57500000</v>
      </c>
      <c r="E75" s="9">
        <f t="shared" si="4"/>
        <v>3500000</v>
      </c>
      <c r="F75" s="157">
        <f t="shared" si="5"/>
        <v>6.4814814814814811E-2</v>
      </c>
      <c r="G75" s="226"/>
      <c r="H75" s="70"/>
      <c r="I75" s="30"/>
      <c r="J75" s="13"/>
      <c r="K75" s="83"/>
      <c r="L75" s="165"/>
      <c r="M75" s="166"/>
    </row>
    <row r="76" spans="1:13">
      <c r="A76" s="21">
        <v>1</v>
      </c>
      <c r="B76" s="186" t="s">
        <v>109</v>
      </c>
      <c r="C76" s="22">
        <f>'BILANS 2024'!D76</f>
        <v>54000000</v>
      </c>
      <c r="D76" s="85">
        <f>D77+D82+D87</f>
        <v>57500000</v>
      </c>
      <c r="E76" s="229">
        <f t="shared" si="4"/>
        <v>3500000</v>
      </c>
      <c r="F76" s="181">
        <f t="shared" si="5"/>
        <v>6.4814814814814811E-2</v>
      </c>
      <c r="G76" s="226"/>
      <c r="H76" s="70"/>
      <c r="I76" s="30"/>
      <c r="J76" s="13"/>
      <c r="K76" s="83"/>
      <c r="L76" s="165"/>
      <c r="M76" s="166"/>
    </row>
    <row r="77" spans="1:13">
      <c r="A77" s="12" t="s">
        <v>21</v>
      </c>
      <c r="B77" s="188" t="s">
        <v>59</v>
      </c>
      <c r="C77" s="13">
        <f>'BILANS 2024'!D77</f>
        <v>0</v>
      </c>
      <c r="D77" s="83">
        <f>SUM(D78:D81)</f>
        <v>0</v>
      </c>
      <c r="E77" s="230">
        <f t="shared" si="4"/>
        <v>0</v>
      </c>
      <c r="F77" s="182" t="e">
        <f t="shared" si="5"/>
        <v>#DIV/0!</v>
      </c>
      <c r="G77" s="226"/>
      <c r="H77" s="70"/>
      <c r="I77" s="30"/>
      <c r="J77" s="13"/>
      <c r="K77" s="83"/>
      <c r="L77" s="165"/>
      <c r="M77" s="166"/>
    </row>
    <row r="78" spans="1:13">
      <c r="A78" s="12"/>
      <c r="B78" s="188" t="s">
        <v>61</v>
      </c>
      <c r="C78" s="13">
        <f>'BILANS 2024'!D78</f>
        <v>0</v>
      </c>
      <c r="D78" s="484"/>
      <c r="E78" s="230">
        <f t="shared" si="4"/>
        <v>0</v>
      </c>
      <c r="F78" s="182" t="e">
        <f t="shared" si="5"/>
        <v>#DIV/0!</v>
      </c>
      <c r="G78" s="226"/>
      <c r="H78" s="70"/>
      <c r="I78" s="30"/>
      <c r="J78" s="13"/>
      <c r="K78" s="83"/>
      <c r="L78" s="165"/>
      <c r="M78" s="166"/>
    </row>
    <row r="79" spans="1:13">
      <c r="A79" s="12"/>
      <c r="B79" s="188" t="s">
        <v>63</v>
      </c>
      <c r="C79" s="13">
        <f>'BILANS 2024'!D79</f>
        <v>0</v>
      </c>
      <c r="D79" s="484"/>
      <c r="E79" s="230">
        <f t="shared" si="4"/>
        <v>0</v>
      </c>
      <c r="F79" s="182" t="e">
        <f t="shared" si="5"/>
        <v>#DIV/0!</v>
      </c>
      <c r="G79" s="226"/>
      <c r="H79" s="70"/>
      <c r="I79" s="30"/>
      <c r="J79" s="13"/>
      <c r="K79" s="83"/>
      <c r="L79" s="165"/>
      <c r="M79" s="166"/>
    </row>
    <row r="80" spans="1:13">
      <c r="A80" s="12"/>
      <c r="B80" s="188" t="s">
        <v>64</v>
      </c>
      <c r="C80" s="13">
        <f>'BILANS 2024'!D80</f>
        <v>0</v>
      </c>
      <c r="D80" s="484"/>
      <c r="E80" s="230">
        <f t="shared" si="4"/>
        <v>0</v>
      </c>
      <c r="F80" s="182" t="e">
        <f t="shared" si="5"/>
        <v>#DIV/0!</v>
      </c>
      <c r="G80" s="226"/>
      <c r="H80" s="70"/>
      <c r="I80" s="30"/>
      <c r="J80" s="13"/>
      <c r="K80" s="83"/>
      <c r="L80" s="165"/>
      <c r="M80" s="166"/>
    </row>
    <row r="81" spans="1:13">
      <c r="A81" s="12"/>
      <c r="B81" s="30" t="s">
        <v>110</v>
      </c>
      <c r="C81" s="13">
        <f>'BILANS 2024'!D81</f>
        <v>0</v>
      </c>
      <c r="D81" s="484"/>
      <c r="E81" s="230">
        <f t="shared" si="4"/>
        <v>0</v>
      </c>
      <c r="F81" s="182" t="e">
        <f t="shared" si="5"/>
        <v>#DIV/0!</v>
      </c>
      <c r="G81" s="226"/>
      <c r="H81" s="70"/>
      <c r="I81" s="30"/>
      <c r="J81" s="13"/>
      <c r="K81" s="83"/>
      <c r="L81" s="165"/>
      <c r="M81" s="166"/>
    </row>
    <row r="82" spans="1:13">
      <c r="A82" s="12" t="s">
        <v>24</v>
      </c>
      <c r="B82" s="188" t="s">
        <v>74</v>
      </c>
      <c r="C82" s="13">
        <f>'BILANS 2024'!D82</f>
        <v>0</v>
      </c>
      <c r="D82" s="83">
        <f>SUM(D83:D86)</f>
        <v>0</v>
      </c>
      <c r="E82" s="230">
        <f t="shared" si="4"/>
        <v>0</v>
      </c>
      <c r="F82" s="182" t="e">
        <f t="shared" si="5"/>
        <v>#DIV/0!</v>
      </c>
      <c r="G82" s="226"/>
      <c r="H82" s="70"/>
      <c r="I82" s="30"/>
      <c r="J82" s="13"/>
      <c r="K82" s="83"/>
      <c r="L82" s="165"/>
      <c r="M82" s="166"/>
    </row>
    <row r="83" spans="1:13">
      <c r="A83" s="12"/>
      <c r="B83" s="188" t="s">
        <v>61</v>
      </c>
      <c r="C83" s="13">
        <f>'BILANS 2024'!D83</f>
        <v>0</v>
      </c>
      <c r="D83" s="484"/>
      <c r="E83" s="230">
        <f t="shared" si="4"/>
        <v>0</v>
      </c>
      <c r="F83" s="182" t="e">
        <f t="shared" si="5"/>
        <v>#DIV/0!</v>
      </c>
      <c r="G83" s="226"/>
      <c r="H83" s="70"/>
      <c r="I83" s="30"/>
      <c r="J83" s="13"/>
      <c r="K83" s="83"/>
      <c r="L83" s="165"/>
      <c r="M83" s="166"/>
    </row>
    <row r="84" spans="1:13">
      <c r="A84" s="12"/>
      <c r="B84" s="188" t="s">
        <v>63</v>
      </c>
      <c r="C84" s="13">
        <f>'BILANS 2024'!D84</f>
        <v>0</v>
      </c>
      <c r="D84" s="484"/>
      <c r="E84" s="230">
        <f t="shared" si="4"/>
        <v>0</v>
      </c>
      <c r="F84" s="182" t="e">
        <f t="shared" si="5"/>
        <v>#DIV/0!</v>
      </c>
      <c r="G84" s="226"/>
      <c r="H84" s="70"/>
      <c r="I84" s="30"/>
      <c r="J84" s="13"/>
      <c r="K84" s="83"/>
      <c r="L84" s="165"/>
      <c r="M84" s="166"/>
    </row>
    <row r="85" spans="1:13">
      <c r="A85" s="12"/>
      <c r="B85" s="188" t="s">
        <v>64</v>
      </c>
      <c r="C85" s="13">
        <f>'BILANS 2024'!D85</f>
        <v>0</v>
      </c>
      <c r="D85" s="484"/>
      <c r="E85" s="230">
        <f t="shared" si="4"/>
        <v>0</v>
      </c>
      <c r="F85" s="182" t="e">
        <f t="shared" si="5"/>
        <v>#DIV/0!</v>
      </c>
      <c r="G85" s="226"/>
      <c r="H85" s="70"/>
      <c r="I85" s="30"/>
      <c r="J85" s="13"/>
      <c r="K85" s="83"/>
      <c r="L85" s="165"/>
      <c r="M85" s="166"/>
    </row>
    <row r="86" spans="1:13">
      <c r="A86" s="12"/>
      <c r="B86" s="30" t="s">
        <v>110</v>
      </c>
      <c r="C86" s="13">
        <f>'BILANS 2024'!D86</f>
        <v>0</v>
      </c>
      <c r="D86" s="484"/>
      <c r="E86" s="230">
        <f t="shared" si="4"/>
        <v>0</v>
      </c>
      <c r="F86" s="182" t="e">
        <f t="shared" si="5"/>
        <v>#DIV/0!</v>
      </c>
      <c r="G86" s="226"/>
      <c r="H86" s="70"/>
      <c r="I86" s="30"/>
      <c r="J86" s="13"/>
      <c r="K86" s="83"/>
      <c r="L86" s="165"/>
      <c r="M86" s="166"/>
    </row>
    <row r="87" spans="1:13">
      <c r="A87" s="12" t="s">
        <v>27</v>
      </c>
      <c r="B87" s="30" t="s">
        <v>111</v>
      </c>
      <c r="C87" s="13">
        <f>'BILANS 2024'!D87</f>
        <v>54000000</v>
      </c>
      <c r="D87" s="83">
        <f>SUM(D88:D90)</f>
        <v>57500000</v>
      </c>
      <c r="E87" s="230">
        <f t="shared" si="4"/>
        <v>3500000</v>
      </c>
      <c r="F87" s="182">
        <f t="shared" si="5"/>
        <v>6.4814814814814811E-2</v>
      </c>
      <c r="G87" s="226"/>
      <c r="H87" s="70"/>
      <c r="I87" s="30"/>
      <c r="J87" s="13"/>
      <c r="K87" s="83"/>
      <c r="L87" s="165"/>
      <c r="M87" s="166"/>
    </row>
    <row r="88" spans="1:13">
      <c r="A88" s="12"/>
      <c r="B88" s="30" t="s">
        <v>112</v>
      </c>
      <c r="C88" s="13">
        <f>'BILANS 2024'!D88</f>
        <v>39000000</v>
      </c>
      <c r="D88" s="484">
        <v>40000000</v>
      </c>
      <c r="E88" s="230">
        <f t="shared" si="4"/>
        <v>1000000</v>
      </c>
      <c r="F88" s="182">
        <f t="shared" si="5"/>
        <v>2.564102564102564E-2</v>
      </c>
      <c r="G88" s="226"/>
      <c r="H88" s="70"/>
      <c r="I88" s="30"/>
      <c r="J88" s="13"/>
      <c r="K88" s="83"/>
      <c r="L88" s="165"/>
      <c r="M88" s="166"/>
    </row>
    <row r="89" spans="1:13">
      <c r="A89" s="12"/>
      <c r="B89" s="188" t="s">
        <v>113</v>
      </c>
      <c r="C89" s="13">
        <f>'BILANS 2024'!D89</f>
        <v>15000000</v>
      </c>
      <c r="D89" s="484">
        <v>17500000</v>
      </c>
      <c r="E89" s="230">
        <f t="shared" si="4"/>
        <v>2500000</v>
      </c>
      <c r="F89" s="182">
        <f t="shared" si="5"/>
        <v>0.16666666666666666</v>
      </c>
      <c r="G89" s="226"/>
      <c r="H89" s="70"/>
      <c r="I89" s="30"/>
      <c r="J89" s="13"/>
      <c r="K89" s="83"/>
      <c r="L89" s="165"/>
      <c r="M89" s="166"/>
    </row>
    <row r="90" spans="1:13">
      <c r="A90" s="12"/>
      <c r="B90" s="188" t="s">
        <v>114</v>
      </c>
      <c r="C90" s="13">
        <f>'BILANS 2024'!D90</f>
        <v>0</v>
      </c>
      <c r="D90" s="484"/>
      <c r="E90" s="230">
        <f t="shared" si="4"/>
        <v>0</v>
      </c>
      <c r="F90" s="182" t="e">
        <f t="shared" si="5"/>
        <v>#DIV/0!</v>
      </c>
      <c r="G90" s="226"/>
      <c r="H90" s="70"/>
      <c r="I90" s="30"/>
      <c r="J90" s="13"/>
      <c r="K90" s="83"/>
      <c r="L90" s="165"/>
      <c r="M90" s="166"/>
    </row>
    <row r="91" spans="1:13" ht="15.75" thickBot="1">
      <c r="A91" s="71">
        <v>2</v>
      </c>
      <c r="B91" s="187" t="s">
        <v>115</v>
      </c>
      <c r="C91" s="25">
        <f>'BILANS 2024'!D91</f>
        <v>0</v>
      </c>
      <c r="D91" s="490"/>
      <c r="E91" s="231">
        <f t="shared" si="4"/>
        <v>0</v>
      </c>
      <c r="F91" s="183" t="e">
        <f t="shared" si="5"/>
        <v>#DIV/0!</v>
      </c>
      <c r="G91" s="227"/>
      <c r="H91" s="30"/>
      <c r="I91" s="30"/>
      <c r="J91" s="13"/>
      <c r="K91" s="83"/>
      <c r="L91" s="165"/>
      <c r="M91" s="166"/>
    </row>
    <row r="92" spans="1:13" ht="15.75" thickBot="1">
      <c r="A92" s="8" t="s">
        <v>20</v>
      </c>
      <c r="B92" s="28" t="s">
        <v>116</v>
      </c>
      <c r="C92" s="72">
        <f>'BILANS 2024'!D92</f>
        <v>135000</v>
      </c>
      <c r="D92" s="500">
        <v>130000</v>
      </c>
      <c r="E92" s="123">
        <f t="shared" si="4"/>
        <v>-5000</v>
      </c>
      <c r="F92" s="124">
        <f t="shared" si="5"/>
        <v>-3.7037037037037035E-2</v>
      </c>
      <c r="G92" s="227"/>
      <c r="H92" s="30"/>
      <c r="I92" s="30"/>
      <c r="J92" s="13"/>
      <c r="K92" s="83"/>
      <c r="L92" s="165"/>
      <c r="M92" s="166"/>
    </row>
    <row r="93" spans="1:13" ht="15.75" thickBot="1">
      <c r="A93" s="8" t="s">
        <v>247</v>
      </c>
      <c r="B93" s="266" t="s">
        <v>248</v>
      </c>
      <c r="C93" s="72">
        <f>'BILANS 2024'!D93</f>
        <v>0</v>
      </c>
      <c r="D93" s="500"/>
      <c r="E93" s="123">
        <f t="shared" ref="E93:E94" si="6">D93-C93</f>
        <v>0</v>
      </c>
      <c r="F93" s="124" t="e">
        <f t="shared" ref="F93:F94" si="7">E93/C93</f>
        <v>#DIV/0!</v>
      </c>
      <c r="G93" s="227"/>
      <c r="H93" s="30"/>
      <c r="I93" s="30"/>
      <c r="J93" s="13"/>
      <c r="K93" s="83"/>
      <c r="L93" s="165"/>
      <c r="M93" s="166"/>
    </row>
    <row r="94" spans="1:13" ht="15.75" thickBot="1">
      <c r="A94" s="8" t="s">
        <v>249</v>
      </c>
      <c r="B94" s="266" t="s">
        <v>250</v>
      </c>
      <c r="C94" s="72">
        <f>'BILANS 2024'!D94</f>
        <v>0</v>
      </c>
      <c r="D94" s="500"/>
      <c r="E94" s="123">
        <f t="shared" si="6"/>
        <v>0</v>
      </c>
      <c r="F94" s="124" t="e">
        <f t="shared" si="7"/>
        <v>#DIV/0!</v>
      </c>
      <c r="G94" s="227"/>
      <c r="H94" s="30"/>
      <c r="I94" s="30"/>
      <c r="J94" s="13"/>
      <c r="K94" s="83"/>
      <c r="L94" s="165"/>
      <c r="M94" s="166"/>
    </row>
    <row r="95" spans="1:13" ht="30.75" thickBot="1">
      <c r="A95" s="152"/>
      <c r="B95" s="78" t="s">
        <v>304</v>
      </c>
      <c r="C95" s="79">
        <f>'BILANS 2024'!D95</f>
        <v>93488364.829999998</v>
      </c>
      <c r="D95" s="92">
        <f>D8+D50+D93+D94</f>
        <v>97393589.829999998</v>
      </c>
      <c r="E95" s="233">
        <f t="shared" si="4"/>
        <v>3905225</v>
      </c>
      <c r="F95" s="197">
        <f t="shared" si="5"/>
        <v>4.1772310459181665E-2</v>
      </c>
      <c r="G95" s="227"/>
      <c r="H95" s="152"/>
      <c r="I95" s="78" t="s">
        <v>204</v>
      </c>
      <c r="J95" s="79">
        <f>'BILANS 2024'!K95</f>
        <v>93488364.829999998</v>
      </c>
      <c r="K95" s="92">
        <f>K8+K20</f>
        <v>97393589.829999998</v>
      </c>
      <c r="L95" s="121">
        <f t="shared" ref="L95" si="8">K95-J95</f>
        <v>3905225</v>
      </c>
      <c r="M95" s="122">
        <f t="shared" ref="M95" si="9">L95/J95</f>
        <v>4.1772310459181665E-2</v>
      </c>
    </row>
    <row r="96" spans="1:13">
      <c r="A96" s="224"/>
      <c r="B96" s="1"/>
      <c r="C96" s="1"/>
      <c r="D96" s="1"/>
      <c r="E96" s="1"/>
      <c r="F96" s="1"/>
      <c r="G96" s="1"/>
      <c r="H96" s="152"/>
      <c r="I96" s="1"/>
      <c r="J96" s="41"/>
      <c r="K96" s="41"/>
    </row>
    <row r="97" spans="1:13" ht="60" customHeight="1">
      <c r="A97" s="152"/>
      <c r="B97" s="2"/>
      <c r="C97" s="2"/>
      <c r="D97" s="2"/>
      <c r="E97" s="2"/>
      <c r="F97" s="2"/>
      <c r="G97" s="2"/>
      <c r="H97" s="152"/>
      <c r="I97" s="2"/>
      <c r="J97" s="2"/>
      <c r="K97" s="2"/>
    </row>
    <row r="98" spans="1:13" ht="15" customHeight="1">
      <c r="A98" s="74"/>
      <c r="B98" s="74" t="s">
        <v>118</v>
      </c>
      <c r="C98" s="74"/>
      <c r="D98" s="686" t="s">
        <v>118</v>
      </c>
      <c r="E98" s="686"/>
      <c r="F98" s="686"/>
      <c r="G98" s="42"/>
      <c r="I98" s="74" t="s">
        <v>118</v>
      </c>
      <c r="J98" s="74"/>
      <c r="K98" s="686" t="s">
        <v>118</v>
      </c>
      <c r="L98" s="686"/>
      <c r="M98" s="686"/>
    </row>
    <row r="99" spans="1:13" ht="15" customHeight="1">
      <c r="A99" s="73"/>
      <c r="B99" s="73" t="s">
        <v>207</v>
      </c>
      <c r="C99" s="73"/>
      <c r="D99" s="685" t="s">
        <v>119</v>
      </c>
      <c r="E99" s="685"/>
      <c r="F99" s="685"/>
      <c r="G99" s="65"/>
      <c r="I99" s="73" t="s">
        <v>207</v>
      </c>
      <c r="J99" s="73"/>
      <c r="K99" s="685" t="s">
        <v>119</v>
      </c>
      <c r="L99" s="685"/>
      <c r="M99" s="685"/>
    </row>
    <row r="100" spans="1:13">
      <c r="B100" s="2"/>
      <c r="C100" s="2"/>
      <c r="D100" s="2"/>
      <c r="E100" s="2"/>
      <c r="F100" s="2"/>
      <c r="G100" s="2"/>
      <c r="H100" s="152"/>
      <c r="I100" s="2"/>
      <c r="J100" s="2"/>
      <c r="K100" s="2"/>
    </row>
    <row r="101" spans="1:13">
      <c r="B101" s="74"/>
      <c r="C101" s="74"/>
      <c r="D101" s="42"/>
      <c r="E101" s="42"/>
      <c r="F101" s="42"/>
      <c r="G101" s="42"/>
      <c r="I101" s="686" t="s">
        <v>118</v>
      </c>
      <c r="J101" s="686"/>
      <c r="K101" s="686"/>
    </row>
    <row r="102" spans="1:13">
      <c r="B102" s="73"/>
      <c r="C102" s="73"/>
      <c r="D102" s="65"/>
      <c r="E102" s="65"/>
      <c r="F102" s="65"/>
      <c r="G102" s="65"/>
      <c r="I102" s="685" t="s">
        <v>119</v>
      </c>
      <c r="J102" s="685"/>
      <c r="K102" s="685"/>
    </row>
  </sheetData>
  <sheetProtection algorithmName="SHA-512" hashValue="QvGlSELSdpcVCtN98zxYpir3Z893Kt18hh2DYe8aLwOmZZaMMI2qwdBIrjK5dNvRqpmSbUFocTPP6vU0dplLBw==" saltValue="C1uwvD/OuGqDyxgihdbnsg==" spinCount="100000" sheet="1" formatCells="0" formatColumns="0" formatRows="0"/>
  <mergeCells count="18">
    <mergeCell ref="I102:K102"/>
    <mergeCell ref="I101:K101"/>
    <mergeCell ref="A6:A7"/>
    <mergeCell ref="B6:B7"/>
    <mergeCell ref="C6:D6"/>
    <mergeCell ref="H6:H7"/>
    <mergeCell ref="I6:I7"/>
    <mergeCell ref="E6:E7"/>
    <mergeCell ref="F6:F7"/>
    <mergeCell ref="D98:F98"/>
    <mergeCell ref="K98:M98"/>
    <mergeCell ref="D99:F99"/>
    <mergeCell ref="K99:M99"/>
    <mergeCell ref="J4:K4"/>
    <mergeCell ref="J6:K6"/>
    <mergeCell ref="L6:L7"/>
    <mergeCell ref="M6:M7"/>
    <mergeCell ref="C4:D4"/>
  </mergeCells>
  <pageMargins left="0.78740157480314965" right="0.23622047244094491" top="0.74803149606299213" bottom="0.74803149606299213" header="0.31496062992125984" footer="0.31496062992125984"/>
  <pageSetup paperSize="9" scale="78" fitToHeight="0" orientation="portrait" r:id="rId1"/>
  <rowBreaks count="1" manualBreakCount="1">
    <brk id="49" max="12" man="1"/>
  </rowBreaks>
  <colBreaks count="1" manualBreakCount="1">
    <brk id="7" max="10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63"/>
  <sheetViews>
    <sheetView view="pageBreakPreview" zoomScaleNormal="110" zoomScaleSheetLayoutView="100" workbookViewId="0">
      <pane xSplit="2" ySplit="8" topLeftCell="C42" activePane="bottomRight" state="frozen"/>
      <selection activeCell="C7" sqref="C7"/>
      <selection pane="topRight" activeCell="C7" sqref="C7"/>
      <selection pane="bottomLeft" activeCell="C7" sqref="C7"/>
      <selection pane="bottomRight" activeCell="E1" sqref="E1"/>
    </sheetView>
  </sheetViews>
  <sheetFormatPr defaultRowHeight="15"/>
  <cols>
    <col min="1" max="1" width="7.28515625" bestFit="1" customWidth="1"/>
    <col min="2" max="2" width="54.140625" customWidth="1"/>
    <col min="3" max="3" width="17.42578125" customWidth="1"/>
    <col min="4" max="4" width="18.42578125" customWidth="1"/>
    <col min="5" max="5" width="16.28515625" customWidth="1"/>
    <col min="6" max="6" width="12.140625" customWidth="1"/>
  </cols>
  <sheetData>
    <row r="1" spans="1:6" s="518" customFormat="1">
      <c r="A1" s="536"/>
      <c r="B1" s="534"/>
      <c r="C1" s="534"/>
      <c r="D1" s="534"/>
      <c r="E1" s="518" t="s">
        <v>343</v>
      </c>
    </row>
    <row r="2" spans="1:6" s="518" customFormat="1">
      <c r="A2" s="701" t="s">
        <v>0</v>
      </c>
      <c r="B2" s="701"/>
      <c r="C2" s="534"/>
      <c r="D2" s="534"/>
    </row>
    <row r="3" spans="1:6" ht="15.75" thickBot="1">
      <c r="A3" s="702" t="s">
        <v>120</v>
      </c>
      <c r="B3" s="702"/>
      <c r="C3" s="687" t="s">
        <v>205</v>
      </c>
      <c r="D3" s="687"/>
    </row>
    <row r="4" spans="1:6" ht="15" customHeight="1">
      <c r="A4" s="703" t="s">
        <v>308</v>
      </c>
      <c r="B4" s="703"/>
      <c r="C4" s="703"/>
      <c r="D4" s="703"/>
      <c r="E4" s="703"/>
      <c r="F4" s="703"/>
    </row>
    <row r="5" spans="1:6" ht="15.75" thickBot="1">
      <c r="A5" s="43"/>
      <c r="B5" s="42"/>
      <c r="C5" s="42"/>
      <c r="D5" s="44"/>
    </row>
    <row r="6" spans="1:6">
      <c r="A6" s="691" t="s">
        <v>121</v>
      </c>
      <c r="B6" s="698" t="s">
        <v>122</v>
      </c>
      <c r="C6" s="693" t="s">
        <v>123</v>
      </c>
      <c r="D6" s="695"/>
      <c r="E6" s="693" t="s">
        <v>208</v>
      </c>
      <c r="F6" s="695" t="s">
        <v>209</v>
      </c>
    </row>
    <row r="7" spans="1:6" ht="15.75" thickBot="1">
      <c r="A7" s="697"/>
      <c r="B7" s="704"/>
      <c r="C7" s="153" t="str">
        <f ca="1">'RZiS 2024'!D7</f>
        <v>2024</v>
      </c>
      <c r="D7" s="592" t="str">
        <f ca="1">RIGHT(CELL("nazwa_pliku",A1),4)</f>
        <v>2025</v>
      </c>
      <c r="E7" s="694"/>
      <c r="F7" s="696"/>
    </row>
    <row r="8" spans="1:6" ht="29.25" customHeight="1" thickBot="1">
      <c r="A8" s="45" t="s">
        <v>5</v>
      </c>
      <c r="B8" s="243" t="s">
        <v>124</v>
      </c>
      <c r="C8" s="257">
        <f>'RZiS 2024'!D8</f>
        <v>277324000</v>
      </c>
      <c r="D8" s="46">
        <f>D10+D11+D12+D13</f>
        <v>297580000</v>
      </c>
      <c r="E8" s="114">
        <f>D8-C8</f>
        <v>20256000</v>
      </c>
      <c r="F8" s="115">
        <f>E8/C8</f>
        <v>7.3040919646334246E-2</v>
      </c>
    </row>
    <row r="9" spans="1:6">
      <c r="A9" s="47"/>
      <c r="B9" s="244" t="s">
        <v>125</v>
      </c>
      <c r="C9" s="258">
        <f>'RZiS 2024'!D9</f>
        <v>0</v>
      </c>
      <c r="D9" s="520"/>
      <c r="E9" s="240">
        <f t="shared" ref="E9:E58" si="0">D9-C9</f>
        <v>0</v>
      </c>
      <c r="F9" s="237" t="e">
        <f t="shared" ref="F9:F58" si="1">E9/C9</f>
        <v>#DIV/0!</v>
      </c>
    </row>
    <row r="10" spans="1:6">
      <c r="A10" s="49" t="s">
        <v>8</v>
      </c>
      <c r="B10" s="245" t="s">
        <v>126</v>
      </c>
      <c r="C10" s="259">
        <f>'RZiS 2024'!D10</f>
        <v>273124000</v>
      </c>
      <c r="D10" s="522">
        <v>293380000</v>
      </c>
      <c r="E10" s="238">
        <f t="shared" si="0"/>
        <v>20256000</v>
      </c>
      <c r="F10" s="235">
        <f t="shared" si="1"/>
        <v>7.4164115932689914E-2</v>
      </c>
    </row>
    <row r="11" spans="1:6" ht="46.5" customHeight="1">
      <c r="A11" s="51" t="s">
        <v>11</v>
      </c>
      <c r="B11" s="246" t="s">
        <v>127</v>
      </c>
      <c r="C11" s="260">
        <f>'RZiS 2024'!D11</f>
        <v>0</v>
      </c>
      <c r="D11" s="524"/>
      <c r="E11" s="238">
        <f t="shared" si="0"/>
        <v>0</v>
      </c>
      <c r="F11" s="235" t="e">
        <f t="shared" si="1"/>
        <v>#DIV/0!</v>
      </c>
    </row>
    <row r="12" spans="1:6" ht="30">
      <c r="A12" s="51" t="s">
        <v>16</v>
      </c>
      <c r="B12" s="246" t="s">
        <v>128</v>
      </c>
      <c r="C12" s="260">
        <f>'RZiS 2024'!D12</f>
        <v>0</v>
      </c>
      <c r="D12" s="524"/>
      <c r="E12" s="238">
        <f t="shared" si="0"/>
        <v>0</v>
      </c>
      <c r="F12" s="235" t="e">
        <f t="shared" si="1"/>
        <v>#DIV/0!</v>
      </c>
    </row>
    <row r="13" spans="1:6" ht="15.75" thickBot="1">
      <c r="A13" s="53" t="s">
        <v>20</v>
      </c>
      <c r="B13" s="247" t="s">
        <v>129</v>
      </c>
      <c r="C13" s="261">
        <f>'RZiS 2024'!D13</f>
        <v>4200000</v>
      </c>
      <c r="D13" s="526">
        <v>4200000</v>
      </c>
      <c r="E13" s="239">
        <f t="shared" si="0"/>
        <v>0</v>
      </c>
      <c r="F13" s="236">
        <f t="shared" si="1"/>
        <v>0</v>
      </c>
    </row>
    <row r="14" spans="1:6" ht="31.5" customHeight="1" thickBot="1">
      <c r="A14" s="55" t="s">
        <v>41</v>
      </c>
      <c r="B14" s="248" t="s">
        <v>130</v>
      </c>
      <c r="C14" s="262">
        <f>'RZiS 2024'!D14</f>
        <v>274400000</v>
      </c>
      <c r="D14" s="56">
        <f>D15+D16+D17+D18+D20+D21+D23+D24</f>
        <v>294400000</v>
      </c>
      <c r="E14" s="114">
        <f t="shared" si="0"/>
        <v>20000000</v>
      </c>
      <c r="F14" s="115">
        <f t="shared" si="1"/>
        <v>7.2886297376093298E-2</v>
      </c>
    </row>
    <row r="15" spans="1:6">
      <c r="A15" s="57" t="s">
        <v>8</v>
      </c>
      <c r="B15" s="249" t="s">
        <v>131</v>
      </c>
      <c r="C15" s="263">
        <f>'RZiS 2024'!D15</f>
        <v>5500000</v>
      </c>
      <c r="D15" s="528">
        <v>6000000</v>
      </c>
      <c r="E15" s="240">
        <f t="shared" si="0"/>
        <v>500000</v>
      </c>
      <c r="F15" s="237">
        <f t="shared" si="1"/>
        <v>9.0909090909090912E-2</v>
      </c>
    </row>
    <row r="16" spans="1:6">
      <c r="A16" s="51" t="s">
        <v>11</v>
      </c>
      <c r="B16" s="250" t="s">
        <v>132</v>
      </c>
      <c r="C16" s="260">
        <f>'RZiS 2024'!D16</f>
        <v>13000000</v>
      </c>
      <c r="D16" s="524">
        <v>15000000</v>
      </c>
      <c r="E16" s="238">
        <f t="shared" si="0"/>
        <v>2000000</v>
      </c>
      <c r="F16" s="235">
        <f t="shared" si="1"/>
        <v>0.15384615384615385</v>
      </c>
    </row>
    <row r="17" spans="1:8">
      <c r="A17" s="51" t="s">
        <v>16</v>
      </c>
      <c r="B17" s="250" t="s">
        <v>133</v>
      </c>
      <c r="C17" s="260">
        <f>'RZiS 2024'!D17</f>
        <v>118000000</v>
      </c>
      <c r="D17" s="524">
        <v>129000000</v>
      </c>
      <c r="E17" s="238">
        <f t="shared" si="0"/>
        <v>11000000</v>
      </c>
      <c r="F17" s="235">
        <f t="shared" si="1"/>
        <v>9.3220338983050849E-2</v>
      </c>
    </row>
    <row r="18" spans="1:8">
      <c r="A18" s="51" t="s">
        <v>20</v>
      </c>
      <c r="B18" s="250" t="s">
        <v>134</v>
      </c>
      <c r="C18" s="260">
        <f>'RZiS 2024'!D18</f>
        <v>1000000</v>
      </c>
      <c r="D18" s="524">
        <v>1200000</v>
      </c>
      <c r="E18" s="238">
        <f t="shared" si="0"/>
        <v>200000</v>
      </c>
      <c r="F18" s="235">
        <f t="shared" si="1"/>
        <v>0.2</v>
      </c>
    </row>
    <row r="19" spans="1:8">
      <c r="A19" s="51"/>
      <c r="B19" s="250" t="s">
        <v>135</v>
      </c>
      <c r="C19" s="260">
        <f>'RZiS 2024'!D19</f>
        <v>0</v>
      </c>
      <c r="D19" s="524">
        <v>0</v>
      </c>
      <c r="E19" s="238">
        <f t="shared" si="0"/>
        <v>0</v>
      </c>
      <c r="F19" s="235" t="e">
        <f t="shared" si="1"/>
        <v>#DIV/0!</v>
      </c>
    </row>
    <row r="20" spans="1:8" ht="15.75" thickBot="1">
      <c r="A20" s="51" t="s">
        <v>80</v>
      </c>
      <c r="B20" s="250" t="s">
        <v>136</v>
      </c>
      <c r="C20" s="260">
        <f>'RZiS 2024'!D20</f>
        <v>106000000</v>
      </c>
      <c r="D20" s="524">
        <v>110000000</v>
      </c>
      <c r="E20" s="238">
        <f t="shared" si="0"/>
        <v>4000000</v>
      </c>
      <c r="F20" s="235">
        <f t="shared" si="1"/>
        <v>3.7735849056603772E-2</v>
      </c>
    </row>
    <row r="21" spans="1:8" ht="15.75" thickBot="1">
      <c r="A21" s="51" t="s">
        <v>33</v>
      </c>
      <c r="B21" s="246" t="s">
        <v>137</v>
      </c>
      <c r="C21" s="260">
        <f>'RZiS 2024'!D21</f>
        <v>23000000</v>
      </c>
      <c r="D21" s="524">
        <v>25000000</v>
      </c>
      <c r="E21" s="238">
        <f t="shared" si="0"/>
        <v>2000000</v>
      </c>
      <c r="F21" s="235">
        <f t="shared" si="1"/>
        <v>8.6956521739130432E-2</v>
      </c>
      <c r="H21" s="113"/>
    </row>
    <row r="22" spans="1:8">
      <c r="A22" s="51"/>
      <c r="B22" s="250" t="s">
        <v>138</v>
      </c>
      <c r="C22" s="260">
        <f>'RZiS 2024'!D22</f>
        <v>10500000</v>
      </c>
      <c r="D22" s="524">
        <v>12000000</v>
      </c>
      <c r="E22" s="238">
        <f t="shared" si="0"/>
        <v>1500000</v>
      </c>
      <c r="F22" s="235">
        <f t="shared" si="1"/>
        <v>0.14285714285714285</v>
      </c>
    </row>
    <row r="23" spans="1:8">
      <c r="A23" s="51" t="s">
        <v>37</v>
      </c>
      <c r="B23" s="250" t="s">
        <v>139</v>
      </c>
      <c r="C23" s="260">
        <f>'RZiS 2024'!D23</f>
        <v>3900000</v>
      </c>
      <c r="D23" s="524">
        <v>4200000</v>
      </c>
      <c r="E23" s="238">
        <f t="shared" si="0"/>
        <v>300000</v>
      </c>
      <c r="F23" s="235">
        <f t="shared" si="1"/>
        <v>7.6923076923076927E-2</v>
      </c>
    </row>
    <row r="24" spans="1:8" ht="15.75" thickBot="1">
      <c r="A24" s="53" t="s">
        <v>140</v>
      </c>
      <c r="B24" s="251" t="s">
        <v>141</v>
      </c>
      <c r="C24" s="261">
        <f>'RZiS 2024'!D24</f>
        <v>4000000</v>
      </c>
      <c r="D24" s="526">
        <v>4000000</v>
      </c>
      <c r="E24" s="239">
        <f t="shared" si="0"/>
        <v>0</v>
      </c>
      <c r="F24" s="236">
        <f t="shared" si="1"/>
        <v>0</v>
      </c>
    </row>
    <row r="25" spans="1:8" ht="28.5" customHeight="1" thickBot="1">
      <c r="A25" s="55" t="s">
        <v>142</v>
      </c>
      <c r="B25" s="248" t="s">
        <v>143</v>
      </c>
      <c r="C25" s="262">
        <f>'RZiS 2024'!D25</f>
        <v>2924000</v>
      </c>
      <c r="D25" s="56">
        <f>D8-D14</f>
        <v>3180000</v>
      </c>
      <c r="E25" s="114">
        <f t="shared" si="0"/>
        <v>256000</v>
      </c>
      <c r="F25" s="115">
        <f t="shared" si="1"/>
        <v>8.7551299589603282E-2</v>
      </c>
    </row>
    <row r="26" spans="1:8" ht="15.75" thickBot="1">
      <c r="A26" s="55" t="s">
        <v>144</v>
      </c>
      <c r="B26" s="248" t="s">
        <v>145</v>
      </c>
      <c r="C26" s="262">
        <f>'RZiS 2024'!D26</f>
        <v>4800000</v>
      </c>
      <c r="D26" s="56">
        <f>D27+D28+D29+D30</f>
        <v>5200000</v>
      </c>
      <c r="E26" s="241">
        <f t="shared" si="0"/>
        <v>400000</v>
      </c>
      <c r="F26" s="242">
        <f t="shared" si="1"/>
        <v>8.3333333333333329E-2</v>
      </c>
    </row>
    <row r="27" spans="1:8">
      <c r="A27" s="57" t="s">
        <v>8</v>
      </c>
      <c r="B27" s="252" t="s">
        <v>174</v>
      </c>
      <c r="C27" s="263">
        <f>'RZiS 2024'!D27</f>
        <v>0</v>
      </c>
      <c r="D27" s="528"/>
      <c r="E27" s="240">
        <f t="shared" si="0"/>
        <v>0</v>
      </c>
      <c r="F27" s="237" t="e">
        <f t="shared" si="1"/>
        <v>#DIV/0!</v>
      </c>
    </row>
    <row r="28" spans="1:8">
      <c r="A28" s="51" t="s">
        <v>11</v>
      </c>
      <c r="B28" s="250" t="s">
        <v>146</v>
      </c>
      <c r="C28" s="260">
        <f>'RZiS 2024'!D28</f>
        <v>500000</v>
      </c>
      <c r="D28" s="524">
        <v>800000</v>
      </c>
      <c r="E28" s="238">
        <f t="shared" si="0"/>
        <v>300000</v>
      </c>
      <c r="F28" s="235">
        <f t="shared" si="1"/>
        <v>0.6</v>
      </c>
    </row>
    <row r="29" spans="1:8">
      <c r="A29" s="53" t="s">
        <v>16</v>
      </c>
      <c r="B29" s="247" t="s">
        <v>147</v>
      </c>
      <c r="C29" s="261">
        <f>'RZiS 2024'!D29</f>
        <v>0</v>
      </c>
      <c r="D29" s="526"/>
      <c r="E29" s="238">
        <f t="shared" si="0"/>
        <v>0</v>
      </c>
      <c r="F29" s="235" t="e">
        <f t="shared" si="1"/>
        <v>#DIV/0!</v>
      </c>
    </row>
    <row r="30" spans="1:8" ht="15.75" thickBot="1">
      <c r="A30" s="53" t="s">
        <v>20</v>
      </c>
      <c r="B30" s="251" t="s">
        <v>148</v>
      </c>
      <c r="C30" s="261">
        <f>'RZiS 2024'!D30</f>
        <v>4300000</v>
      </c>
      <c r="D30" s="526">
        <v>4400000</v>
      </c>
      <c r="E30" s="239">
        <f t="shared" si="0"/>
        <v>100000</v>
      </c>
      <c r="F30" s="236">
        <f t="shared" si="1"/>
        <v>2.3255813953488372E-2</v>
      </c>
    </row>
    <row r="31" spans="1:8" ht="30" customHeight="1" thickBot="1">
      <c r="A31" s="55" t="s">
        <v>149</v>
      </c>
      <c r="B31" s="248" t="s">
        <v>150</v>
      </c>
      <c r="C31" s="262">
        <f>'RZiS 2024'!D31</f>
        <v>2100000</v>
      </c>
      <c r="D31" s="56">
        <f>D32+D33+D34</f>
        <v>2500000</v>
      </c>
      <c r="E31" s="114">
        <f t="shared" si="0"/>
        <v>400000</v>
      </c>
      <c r="F31" s="115">
        <f t="shared" si="1"/>
        <v>0.19047619047619047</v>
      </c>
    </row>
    <row r="32" spans="1:8">
      <c r="A32" s="57" t="s">
        <v>8</v>
      </c>
      <c r="B32" s="252" t="s">
        <v>175</v>
      </c>
      <c r="C32" s="263">
        <f>'RZiS 2024'!D32</f>
        <v>0</v>
      </c>
      <c r="D32" s="528"/>
      <c r="E32" s="240">
        <f t="shared" si="0"/>
        <v>0</v>
      </c>
      <c r="F32" s="237" t="e">
        <f t="shared" si="1"/>
        <v>#DIV/0!</v>
      </c>
    </row>
    <row r="33" spans="1:6">
      <c r="A33" s="51" t="s">
        <v>11</v>
      </c>
      <c r="B33" s="246" t="s">
        <v>147</v>
      </c>
      <c r="C33" s="260">
        <f>'RZiS 2024'!D33</f>
        <v>200000</v>
      </c>
      <c r="D33" s="524">
        <v>300000</v>
      </c>
      <c r="E33" s="238">
        <f t="shared" si="0"/>
        <v>100000</v>
      </c>
      <c r="F33" s="235">
        <f t="shared" si="1"/>
        <v>0.5</v>
      </c>
    </row>
    <row r="34" spans="1:6" ht="15.75" thickBot="1">
      <c r="A34" s="53" t="s">
        <v>16</v>
      </c>
      <c r="B34" s="251" t="s">
        <v>151</v>
      </c>
      <c r="C34" s="261">
        <f>'RZiS 2024'!D34</f>
        <v>1900000</v>
      </c>
      <c r="D34" s="526">
        <v>2200000</v>
      </c>
      <c r="E34" s="239">
        <f t="shared" si="0"/>
        <v>300000</v>
      </c>
      <c r="F34" s="236">
        <f t="shared" si="1"/>
        <v>0.15789473684210525</v>
      </c>
    </row>
    <row r="35" spans="1:6" ht="32.25" customHeight="1" thickBot="1">
      <c r="A35" s="55" t="s">
        <v>152</v>
      </c>
      <c r="B35" s="248" t="s">
        <v>153</v>
      </c>
      <c r="C35" s="262">
        <f>'RZiS 2024'!D35</f>
        <v>5624000</v>
      </c>
      <c r="D35" s="56">
        <f>D25+D26-D31</f>
        <v>5880000</v>
      </c>
      <c r="E35" s="114">
        <f t="shared" si="0"/>
        <v>256000</v>
      </c>
      <c r="F35" s="115">
        <f t="shared" si="1"/>
        <v>4.5519203413940258E-2</v>
      </c>
    </row>
    <row r="36" spans="1:6" ht="28.5" customHeight="1" thickBot="1">
      <c r="A36" s="59" t="s">
        <v>154</v>
      </c>
      <c r="B36" s="253" t="s">
        <v>155</v>
      </c>
      <c r="C36" s="264">
        <f>'RZiS 2024'!D36</f>
        <v>510000</v>
      </c>
      <c r="D36" s="60">
        <f>D37+D42+D44+D46+D47</f>
        <v>510000</v>
      </c>
      <c r="E36" s="241">
        <f t="shared" si="0"/>
        <v>0</v>
      </c>
      <c r="F36" s="242">
        <f t="shared" si="1"/>
        <v>0</v>
      </c>
    </row>
    <row r="37" spans="1:6">
      <c r="A37" s="57" t="s">
        <v>8</v>
      </c>
      <c r="B37" s="249" t="s">
        <v>156</v>
      </c>
      <c r="C37" s="263">
        <f>'RZiS 2024'!D37</f>
        <v>0</v>
      </c>
      <c r="D37" s="58">
        <f>D38+D40</f>
        <v>0</v>
      </c>
      <c r="E37" s="240">
        <f t="shared" si="0"/>
        <v>0</v>
      </c>
      <c r="F37" s="237" t="e">
        <f t="shared" si="1"/>
        <v>#DIV/0!</v>
      </c>
    </row>
    <row r="38" spans="1:6">
      <c r="A38" s="51"/>
      <c r="B38" s="250" t="s">
        <v>176</v>
      </c>
      <c r="C38" s="260">
        <f>'RZiS 2024'!D38</f>
        <v>0</v>
      </c>
      <c r="D38" s="524"/>
      <c r="E38" s="238">
        <f t="shared" si="0"/>
        <v>0</v>
      </c>
      <c r="F38" s="235" t="e">
        <f t="shared" si="1"/>
        <v>#DIV/0!</v>
      </c>
    </row>
    <row r="39" spans="1:6" ht="30">
      <c r="A39" s="51"/>
      <c r="B39" s="246" t="s">
        <v>157</v>
      </c>
      <c r="C39" s="260">
        <f>'RZiS 2024'!D39</f>
        <v>0</v>
      </c>
      <c r="D39" s="524"/>
      <c r="E39" s="238">
        <f t="shared" si="0"/>
        <v>0</v>
      </c>
      <c r="F39" s="235" t="e">
        <f t="shared" si="1"/>
        <v>#DIV/0!</v>
      </c>
    </row>
    <row r="40" spans="1:6">
      <c r="A40" s="51"/>
      <c r="B40" s="250" t="s">
        <v>158</v>
      </c>
      <c r="C40" s="260">
        <f>'RZiS 2024'!D40</f>
        <v>0</v>
      </c>
      <c r="D40" s="524"/>
      <c r="E40" s="238">
        <f t="shared" si="0"/>
        <v>0</v>
      </c>
      <c r="F40" s="235" t="e">
        <f t="shared" si="1"/>
        <v>#DIV/0!</v>
      </c>
    </row>
    <row r="41" spans="1:6" ht="30">
      <c r="A41" s="51"/>
      <c r="B41" s="246" t="s">
        <v>157</v>
      </c>
      <c r="C41" s="260">
        <f>'RZiS 2024'!D41</f>
        <v>0</v>
      </c>
      <c r="D41" s="524"/>
      <c r="E41" s="238">
        <f t="shared" si="0"/>
        <v>0</v>
      </c>
      <c r="F41" s="235" t="e">
        <f t="shared" si="1"/>
        <v>#DIV/0!</v>
      </c>
    </row>
    <row r="42" spans="1:6">
      <c r="A42" s="51" t="s">
        <v>11</v>
      </c>
      <c r="B42" s="250" t="s">
        <v>159</v>
      </c>
      <c r="C42" s="260">
        <f>'RZiS 2024'!D42</f>
        <v>500000</v>
      </c>
      <c r="D42" s="524">
        <v>500000</v>
      </c>
      <c r="E42" s="238">
        <f t="shared" si="0"/>
        <v>0</v>
      </c>
      <c r="F42" s="235">
        <f t="shared" si="1"/>
        <v>0</v>
      </c>
    </row>
    <row r="43" spans="1:6">
      <c r="A43" s="51"/>
      <c r="B43" s="250" t="s">
        <v>125</v>
      </c>
      <c r="C43" s="260">
        <f>'RZiS 2024'!D43</f>
        <v>0</v>
      </c>
      <c r="D43" s="524"/>
      <c r="E43" s="238">
        <f t="shared" si="0"/>
        <v>0</v>
      </c>
      <c r="F43" s="235" t="e">
        <f t="shared" si="1"/>
        <v>#DIV/0!</v>
      </c>
    </row>
    <row r="44" spans="1:6">
      <c r="A44" s="51" t="s">
        <v>16</v>
      </c>
      <c r="B44" s="250" t="s">
        <v>177</v>
      </c>
      <c r="C44" s="260">
        <f>'RZiS 2024'!D44</f>
        <v>0</v>
      </c>
      <c r="D44" s="524"/>
      <c r="E44" s="238">
        <f t="shared" si="0"/>
        <v>0</v>
      </c>
      <c r="F44" s="235" t="e">
        <f t="shared" si="1"/>
        <v>#DIV/0!</v>
      </c>
    </row>
    <row r="45" spans="1:6">
      <c r="A45" s="51"/>
      <c r="B45" s="250" t="s">
        <v>125</v>
      </c>
      <c r="C45" s="260">
        <f>'RZiS 2024'!D45</f>
        <v>0</v>
      </c>
      <c r="D45" s="524"/>
      <c r="E45" s="238">
        <f t="shared" si="0"/>
        <v>0</v>
      </c>
      <c r="F45" s="235" t="e">
        <f t="shared" si="1"/>
        <v>#DIV/0!</v>
      </c>
    </row>
    <row r="46" spans="1:6">
      <c r="A46" s="51" t="s">
        <v>20</v>
      </c>
      <c r="B46" s="250" t="s">
        <v>178</v>
      </c>
      <c r="C46" s="260">
        <f>'RZiS 2024'!D46</f>
        <v>0</v>
      </c>
      <c r="D46" s="524"/>
      <c r="E46" s="238">
        <f t="shared" si="0"/>
        <v>0</v>
      </c>
      <c r="F46" s="235" t="e">
        <f t="shared" si="1"/>
        <v>#DIV/0!</v>
      </c>
    </row>
    <row r="47" spans="1:6" ht="15.75" thickBot="1">
      <c r="A47" s="53" t="s">
        <v>80</v>
      </c>
      <c r="B47" s="251" t="s">
        <v>160</v>
      </c>
      <c r="C47" s="261">
        <f>'RZiS 2024'!D47</f>
        <v>10000</v>
      </c>
      <c r="D47" s="526">
        <v>10000</v>
      </c>
      <c r="E47" s="239">
        <f t="shared" si="0"/>
        <v>0</v>
      </c>
      <c r="F47" s="236">
        <f t="shared" si="1"/>
        <v>0</v>
      </c>
    </row>
    <row r="48" spans="1:6" ht="25.5" customHeight="1" thickBot="1">
      <c r="A48" s="55" t="s">
        <v>161</v>
      </c>
      <c r="B48" s="248" t="s">
        <v>162</v>
      </c>
      <c r="C48" s="262">
        <f>'RZiS 2024'!D48</f>
        <v>70000</v>
      </c>
      <c r="D48" s="56">
        <f>D49+D51+D53+D54</f>
        <v>75000</v>
      </c>
      <c r="E48" s="114">
        <f t="shared" si="0"/>
        <v>5000</v>
      </c>
      <c r="F48" s="115">
        <f t="shared" si="1"/>
        <v>7.1428571428571425E-2</v>
      </c>
    </row>
    <row r="49" spans="1:6">
      <c r="A49" s="57" t="s">
        <v>8</v>
      </c>
      <c r="B49" s="249" t="s">
        <v>159</v>
      </c>
      <c r="C49" s="263">
        <f>'RZiS 2024'!D49</f>
        <v>50000</v>
      </c>
      <c r="D49" s="528">
        <v>50000</v>
      </c>
      <c r="E49" s="240">
        <f t="shared" si="0"/>
        <v>0</v>
      </c>
      <c r="F49" s="237">
        <f t="shared" si="1"/>
        <v>0</v>
      </c>
    </row>
    <row r="50" spans="1:6">
      <c r="A50" s="51"/>
      <c r="B50" s="250" t="s">
        <v>163</v>
      </c>
      <c r="C50" s="260">
        <f>'RZiS 2024'!D50</f>
        <v>0</v>
      </c>
      <c r="D50" s="524"/>
      <c r="E50" s="238">
        <f t="shared" si="0"/>
        <v>0</v>
      </c>
      <c r="F50" s="235" t="e">
        <f t="shared" si="1"/>
        <v>#DIV/0!</v>
      </c>
    </row>
    <row r="51" spans="1:6">
      <c r="A51" s="51" t="s">
        <v>11</v>
      </c>
      <c r="B51" s="250" t="s">
        <v>179</v>
      </c>
      <c r="C51" s="260">
        <f>'RZiS 2024'!D51</f>
        <v>0</v>
      </c>
      <c r="D51" s="524"/>
      <c r="E51" s="238">
        <f t="shared" si="0"/>
        <v>0</v>
      </c>
      <c r="F51" s="235" t="e">
        <f t="shared" si="1"/>
        <v>#DIV/0!</v>
      </c>
    </row>
    <row r="52" spans="1:6">
      <c r="A52" s="51"/>
      <c r="B52" s="250" t="s">
        <v>125</v>
      </c>
      <c r="C52" s="260">
        <f>'RZiS 2024'!D52</f>
        <v>0</v>
      </c>
      <c r="D52" s="524"/>
      <c r="E52" s="238">
        <f t="shared" si="0"/>
        <v>0</v>
      </c>
      <c r="F52" s="235" t="e">
        <f t="shared" si="1"/>
        <v>#DIV/0!</v>
      </c>
    </row>
    <row r="53" spans="1:6">
      <c r="A53" s="51" t="s">
        <v>16</v>
      </c>
      <c r="B53" s="250" t="s">
        <v>178</v>
      </c>
      <c r="C53" s="260">
        <f>'RZiS 2024'!D53</f>
        <v>0</v>
      </c>
      <c r="D53" s="524"/>
      <c r="E53" s="238">
        <f t="shared" si="0"/>
        <v>0</v>
      </c>
      <c r="F53" s="235" t="e">
        <f t="shared" si="1"/>
        <v>#DIV/0!</v>
      </c>
    </row>
    <row r="54" spans="1:6" ht="15.75" thickBot="1">
      <c r="A54" s="61" t="s">
        <v>20</v>
      </c>
      <c r="B54" s="254" t="s">
        <v>160</v>
      </c>
      <c r="C54" s="265">
        <f>'RZiS 2024'!D54</f>
        <v>20000</v>
      </c>
      <c r="D54" s="530">
        <v>25000</v>
      </c>
      <c r="E54" s="239">
        <f t="shared" si="0"/>
        <v>5000</v>
      </c>
      <c r="F54" s="236">
        <f t="shared" si="1"/>
        <v>0.25</v>
      </c>
    </row>
    <row r="55" spans="1:6" ht="28.5" customHeight="1" thickBot="1">
      <c r="A55" s="45" t="s">
        <v>8</v>
      </c>
      <c r="B55" s="243" t="s">
        <v>164</v>
      </c>
      <c r="C55" s="257">
        <f>'RZiS 2024'!D55</f>
        <v>6064000</v>
      </c>
      <c r="D55" s="46">
        <f>D35+D36-D48</f>
        <v>6315000</v>
      </c>
      <c r="E55" s="114">
        <f t="shared" si="0"/>
        <v>251000</v>
      </c>
      <c r="F55" s="115">
        <f t="shared" si="1"/>
        <v>4.1391820580474935E-2</v>
      </c>
    </row>
    <row r="56" spans="1:6">
      <c r="A56" s="63" t="s">
        <v>165</v>
      </c>
      <c r="B56" s="255" t="s">
        <v>166</v>
      </c>
      <c r="C56" s="258">
        <f>'RZiS 2024'!D56</f>
        <v>0</v>
      </c>
      <c r="D56" s="520"/>
      <c r="E56" s="240">
        <f t="shared" si="0"/>
        <v>0</v>
      </c>
      <c r="F56" s="237" t="e">
        <f t="shared" si="1"/>
        <v>#DIV/0!</v>
      </c>
    </row>
    <row r="57" spans="1:6" ht="30.75" thickBot="1">
      <c r="A57" s="64" t="s">
        <v>167</v>
      </c>
      <c r="B57" s="256" t="s">
        <v>168</v>
      </c>
      <c r="C57" s="265">
        <f>'RZiS 2024'!D57</f>
        <v>0</v>
      </c>
      <c r="D57" s="530"/>
      <c r="E57" s="239">
        <f t="shared" si="0"/>
        <v>0</v>
      </c>
      <c r="F57" s="236" t="e">
        <f t="shared" si="1"/>
        <v>#DIV/0!</v>
      </c>
    </row>
    <row r="58" spans="1:6" ht="28.5" customHeight="1" thickBot="1">
      <c r="A58" s="45" t="s">
        <v>169</v>
      </c>
      <c r="B58" s="243" t="s">
        <v>170</v>
      </c>
      <c r="C58" s="257">
        <f>'RZiS 2024'!D58</f>
        <v>6064000</v>
      </c>
      <c r="D58" s="46">
        <f>D55-D56-D57</f>
        <v>6315000</v>
      </c>
      <c r="E58" s="114">
        <f t="shared" si="0"/>
        <v>251000</v>
      </c>
      <c r="F58" s="115">
        <f t="shared" si="1"/>
        <v>4.1391820580474935E-2</v>
      </c>
    </row>
    <row r="61" spans="1:6" ht="15" customHeight="1">
      <c r="A61" s="686" t="s">
        <v>117</v>
      </c>
      <c r="B61" s="686"/>
      <c r="C61" s="686" t="s">
        <v>118</v>
      </c>
      <c r="D61" s="686"/>
      <c r="F61" s="74"/>
    </row>
    <row r="62" spans="1:6" ht="15" customHeight="1">
      <c r="A62" s="685" t="s">
        <v>207</v>
      </c>
      <c r="B62" s="685"/>
      <c r="C62" s="685" t="s">
        <v>119</v>
      </c>
      <c r="D62" s="685"/>
      <c r="F62" s="73"/>
    </row>
    <row r="63" spans="1:6">
      <c r="A63" s="685"/>
      <c r="B63" s="685"/>
    </row>
  </sheetData>
  <sheetProtection algorithmName="SHA-512" hashValue="IXnYRJrGu/ioS6mehaWYM9qJxbaxp/mbnZ2FGGr+P+7eOQiTtttDuSVQnG+M6KIcxa9KMaLsNNq8/L56g9srqw==" saltValue="XPeLpDw5brJglb+0ownTsQ==" spinCount="100000" sheet="1" formatCells="0" formatColumns="0" formatRows="0"/>
  <mergeCells count="13">
    <mergeCell ref="A61:B61"/>
    <mergeCell ref="A62:B63"/>
    <mergeCell ref="C61:D61"/>
    <mergeCell ref="C62:D62"/>
    <mergeCell ref="A2:B2"/>
    <mergeCell ref="A3:B3"/>
    <mergeCell ref="A6:A7"/>
    <mergeCell ref="B6:B7"/>
    <mergeCell ref="C6:D6"/>
    <mergeCell ref="C3:D3"/>
    <mergeCell ref="A4:F4"/>
    <mergeCell ref="E6:E7"/>
    <mergeCell ref="F6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63"/>
  <sheetViews>
    <sheetView view="pageBreakPreview" zoomScale="60" zoomScaleNormal="55" workbookViewId="0">
      <pane ySplit="4" topLeftCell="A29" activePane="bottomLeft" state="frozen"/>
      <selection activeCell="C7" sqref="C7"/>
      <selection pane="bottomLeft" activeCell="D1" sqref="D1"/>
    </sheetView>
  </sheetViews>
  <sheetFormatPr defaultRowHeight="15"/>
  <cols>
    <col min="1" max="1" width="59.28515625" style="75" customWidth="1"/>
    <col min="2" max="2" width="21.85546875" style="148" customWidth="1"/>
    <col min="3" max="3" width="16.42578125" style="75" customWidth="1"/>
    <col min="4" max="4" width="12.42578125" customWidth="1"/>
    <col min="5" max="5" width="12.28515625" style="42" customWidth="1"/>
  </cols>
  <sheetData>
    <row r="1" spans="1:5" s="518" customFormat="1">
      <c r="A1" s="537"/>
      <c r="B1" s="538"/>
      <c r="C1" s="537"/>
      <c r="D1" s="518" t="s">
        <v>344</v>
      </c>
      <c r="E1" s="534"/>
    </row>
    <row r="2" spans="1:5" s="518" customFormat="1" ht="15.75" thickBot="1">
      <c r="A2" s="537"/>
      <c r="B2" s="538"/>
      <c r="C2" s="537"/>
      <c r="E2" s="534"/>
    </row>
    <row r="3" spans="1:5" ht="33" customHeight="1" thickBot="1">
      <c r="A3" s="712" t="str">
        <f ca="1">RIGHT(CELL("nazwa_pliku",A1),31)</f>
        <v>Analiza wskaźnikowa za 2025 rok</v>
      </c>
      <c r="B3" s="713"/>
      <c r="C3" s="713"/>
      <c r="D3" s="713"/>
      <c r="E3" s="714"/>
    </row>
    <row r="4" spans="1:5" ht="15.75" thickBot="1">
      <c r="A4" s="129" t="s">
        <v>185</v>
      </c>
      <c r="B4" s="715" t="s">
        <v>213</v>
      </c>
      <c r="C4" s="715"/>
      <c r="D4" s="130" t="s">
        <v>186</v>
      </c>
      <c r="E4" s="131" t="s">
        <v>187</v>
      </c>
    </row>
    <row r="6" spans="1:5">
      <c r="A6" s="98" t="s">
        <v>180</v>
      </c>
      <c r="B6" s="139"/>
      <c r="C6" s="98"/>
      <c r="D6" s="108"/>
      <c r="E6" s="132">
        <f>E8+E13+E18</f>
        <v>12</v>
      </c>
    </row>
    <row r="7" spans="1:5">
      <c r="A7" s="102"/>
      <c r="B7" s="140"/>
      <c r="C7" s="100"/>
      <c r="D7" s="101"/>
      <c r="E7" s="133"/>
    </row>
    <row r="8" spans="1:5" ht="15" customHeight="1">
      <c r="A8" s="705" t="s">
        <v>252</v>
      </c>
      <c r="B8" s="141" t="s">
        <v>210</v>
      </c>
      <c r="C8" s="111">
        <v>0</v>
      </c>
      <c r="D8" s="763">
        <f>ROUND(('RZiS 2025'!D58)/('RZiS 2025'!D10+'RZiS 2025'!D13+'RZiS 2025'!D26+'RZiS 2025'!D36),4)</f>
        <v>2.0799999999999999E-2</v>
      </c>
      <c r="E8" s="709">
        <f>IF(D8&lt;0%,0,IF(AND(D8&gt;=0%,D8&lt;=2%),3,IF(AND(D8&gt;2%,D8&lt;=4%),4,5)))</f>
        <v>4</v>
      </c>
    </row>
    <row r="9" spans="1:5">
      <c r="A9" s="706"/>
      <c r="B9" s="141" t="s">
        <v>211</v>
      </c>
      <c r="C9" s="111">
        <v>3</v>
      </c>
      <c r="D9" s="763"/>
      <c r="E9" s="710"/>
    </row>
    <row r="10" spans="1:5">
      <c r="A10" s="706"/>
      <c r="B10" s="141" t="s">
        <v>235</v>
      </c>
      <c r="C10" s="111">
        <v>4</v>
      </c>
      <c r="D10" s="763"/>
      <c r="E10" s="710"/>
    </row>
    <row r="11" spans="1:5">
      <c r="A11" s="707"/>
      <c r="B11" s="141" t="s">
        <v>212</v>
      </c>
      <c r="C11" s="111">
        <v>5</v>
      </c>
      <c r="D11" s="763"/>
      <c r="E11" s="711"/>
    </row>
    <row r="12" spans="1:5">
      <c r="A12" s="99"/>
      <c r="B12" s="205"/>
      <c r="C12" s="206"/>
      <c r="D12" s="270"/>
      <c r="E12" s="128"/>
    </row>
    <row r="13" spans="1:5" ht="18.75" customHeight="1">
      <c r="A13" s="705" t="s">
        <v>246</v>
      </c>
      <c r="B13" s="141" t="s">
        <v>210</v>
      </c>
      <c r="C13" s="111">
        <v>0</v>
      </c>
      <c r="D13" s="763">
        <f>ROUND(('RZiS 2025'!D35)/('RZiS 2025'!D10+'RZiS 2025'!D13+'RZiS 2025'!D26),4)</f>
        <v>1.9400000000000001E-2</v>
      </c>
      <c r="E13" s="709">
        <f>IF(D13&lt;0%,0,IF(AND(D13&gt;=0%,D13&lt;=3%),3,IF(AND(D13&gt;3%,D13&lt;5%),4,5)))</f>
        <v>3</v>
      </c>
    </row>
    <row r="14" spans="1:5" ht="18.75" customHeight="1">
      <c r="A14" s="706"/>
      <c r="B14" s="141" t="s">
        <v>214</v>
      </c>
      <c r="C14" s="111">
        <v>3</v>
      </c>
      <c r="D14" s="763"/>
      <c r="E14" s="710"/>
    </row>
    <row r="15" spans="1:5" ht="18.75" customHeight="1">
      <c r="A15" s="706"/>
      <c r="B15" s="141" t="s">
        <v>236</v>
      </c>
      <c r="C15" s="111">
        <v>4</v>
      </c>
      <c r="D15" s="763"/>
      <c r="E15" s="710"/>
    </row>
    <row r="16" spans="1:5" ht="18.75" customHeight="1">
      <c r="A16" s="707"/>
      <c r="B16" s="141" t="s">
        <v>215</v>
      </c>
      <c r="C16" s="111">
        <v>5</v>
      </c>
      <c r="D16" s="763"/>
      <c r="E16" s="711"/>
    </row>
    <row r="17" spans="1:9">
      <c r="A17" s="81"/>
      <c r="B17" s="142"/>
      <c r="C17" s="104"/>
      <c r="D17" s="137"/>
      <c r="E17" s="134"/>
    </row>
    <row r="18" spans="1:9" ht="18.75" customHeight="1">
      <c r="A18" s="705" t="s">
        <v>251</v>
      </c>
      <c r="B18" s="141" t="s">
        <v>210</v>
      </c>
      <c r="C18" s="111">
        <v>0</v>
      </c>
      <c r="D18" s="764">
        <f>ROUND(('RZiS 2025'!D58)/(('BILANS 2025'!C95+'BILANS 2025'!D95)/2),4)</f>
        <v>6.6199999999999995E-2</v>
      </c>
      <c r="E18" s="709">
        <f>IF(D18&lt;0%,0,IF(AND(D18&gt;=0%,D18&lt;=2%),3,IF(AND(D18&gt;2%,D18&lt;4%),4,5)))</f>
        <v>5</v>
      </c>
    </row>
    <row r="19" spans="1:9">
      <c r="A19" s="706"/>
      <c r="B19" s="141" t="s">
        <v>211</v>
      </c>
      <c r="C19" s="111">
        <v>3</v>
      </c>
      <c r="D19" s="765"/>
      <c r="E19" s="710"/>
    </row>
    <row r="20" spans="1:9">
      <c r="A20" s="706"/>
      <c r="B20" s="141" t="s">
        <v>235</v>
      </c>
      <c r="C20" s="111">
        <v>4</v>
      </c>
      <c r="D20" s="765"/>
      <c r="E20" s="710"/>
    </row>
    <row r="21" spans="1:9">
      <c r="A21" s="707"/>
      <c r="B21" s="141" t="s">
        <v>212</v>
      </c>
      <c r="C21" s="111">
        <v>5</v>
      </c>
      <c r="D21" s="766"/>
      <c r="E21" s="711"/>
    </row>
    <row r="22" spans="1:9">
      <c r="A22" s="81"/>
      <c r="B22" s="146"/>
      <c r="C22" s="110"/>
      <c r="D22" s="149"/>
      <c r="E22" s="134"/>
    </row>
    <row r="23" spans="1:9">
      <c r="A23" s="103" t="s">
        <v>181</v>
      </c>
      <c r="B23" s="144"/>
      <c r="C23" s="109"/>
      <c r="D23" s="108"/>
      <c r="E23" s="132">
        <f>E25+E31</f>
        <v>25</v>
      </c>
    </row>
    <row r="24" spans="1:9">
      <c r="A24" s="81"/>
      <c r="B24" s="142"/>
      <c r="C24" s="104"/>
      <c r="D24" s="76"/>
      <c r="E24" s="134"/>
    </row>
    <row r="25" spans="1:9" ht="18.75" customHeight="1">
      <c r="A25" s="719" t="s">
        <v>245</v>
      </c>
      <c r="B25" s="141" t="s">
        <v>216</v>
      </c>
      <c r="C25" s="199">
        <v>0</v>
      </c>
      <c r="D25" s="722">
        <f>ROUND(('BILANS 2025'!D50-'BILANS 2025'!D61-'BILANS 2025'!D92)/('BILANS 2025'!K38-'BILANS 2025'!K47+'BILANS 2025'!K25+'BILANS 2025'!K28),2)</f>
        <v>1.72</v>
      </c>
      <c r="E25" s="709">
        <f>IF(D25&lt;0.6,0,IF(AND(D25&gt;=0.6,D25&lt;=1),4,IF(AND(D25&gt;1,D25&lt;=1.5),8,IF(AND(D25&gt;1.5,D25&lt;=3),12,10))))</f>
        <v>12</v>
      </c>
    </row>
    <row r="26" spans="1:9" ht="18" customHeight="1">
      <c r="A26" s="720"/>
      <c r="B26" s="141" t="s">
        <v>217</v>
      </c>
      <c r="C26" s="199">
        <v>4</v>
      </c>
      <c r="D26" s="723"/>
      <c r="E26" s="710"/>
    </row>
    <row r="27" spans="1:9" ht="18" customHeight="1">
      <c r="A27" s="720"/>
      <c r="B27" s="141" t="s">
        <v>237</v>
      </c>
      <c r="C27" s="199">
        <v>8</v>
      </c>
      <c r="D27" s="723"/>
      <c r="E27" s="710"/>
    </row>
    <row r="28" spans="1:9" ht="18" customHeight="1">
      <c r="A28" s="720"/>
      <c r="B28" s="141" t="s">
        <v>238</v>
      </c>
      <c r="C28" s="199">
        <v>12</v>
      </c>
      <c r="D28" s="723"/>
      <c r="E28" s="710"/>
    </row>
    <row r="29" spans="1:9" ht="45" customHeight="1">
      <c r="A29" s="721"/>
      <c r="B29" s="201" t="s">
        <v>218</v>
      </c>
      <c r="C29" s="111">
        <v>10</v>
      </c>
      <c r="D29" s="724"/>
      <c r="E29" s="711"/>
    </row>
    <row r="30" spans="1:9" ht="16.5" customHeight="1">
      <c r="A30" s="81"/>
      <c r="B30" s="146"/>
      <c r="C30" s="110"/>
      <c r="D30" s="269"/>
      <c r="E30" s="134"/>
    </row>
    <row r="31" spans="1:9" ht="23.25" customHeight="1">
      <c r="A31" s="719" t="s">
        <v>242</v>
      </c>
      <c r="B31" s="143" t="s">
        <v>219</v>
      </c>
      <c r="C31" s="200">
        <v>0</v>
      </c>
      <c r="D31" s="722">
        <f>ROUND(('BILANS 2025'!D50-'BILANS 2025'!D61-'BILANS 2025'!D66-'BILANS 2025'!D71-'BILANS 2025'!D92-'BILANS 2025'!D51)/('BILANS 2025'!K38-'BILANS 2025'!K42-'BILANS 2025'!K47-'BILANS 2025'!K55+'BILANS 2025'!K25+'BILANS 2025'!K28),2)</f>
        <v>1.7</v>
      </c>
      <c r="E31" s="709">
        <f>IF(D31&lt;0.5,0,IF(AND(D31&gt;=0.5,D31&lt;=1),8,IF(AND(D31&gt;1,D31&lt;=2.5),13,10)))</f>
        <v>13</v>
      </c>
    </row>
    <row r="32" spans="1:9" ht="23.25" customHeight="1">
      <c r="A32" s="720"/>
      <c r="B32" s="141" t="s">
        <v>220</v>
      </c>
      <c r="C32" s="199">
        <v>8</v>
      </c>
      <c r="D32" s="723"/>
      <c r="E32" s="710"/>
      <c r="I32" t="s">
        <v>241</v>
      </c>
    </row>
    <row r="33" spans="1:8" ht="25.5" customHeight="1">
      <c r="A33" s="720"/>
      <c r="B33" s="141" t="s">
        <v>239</v>
      </c>
      <c r="C33" s="199">
        <v>13</v>
      </c>
      <c r="D33" s="723"/>
      <c r="E33" s="710"/>
    </row>
    <row r="34" spans="1:8" ht="47.25" customHeight="1">
      <c r="A34" s="721"/>
      <c r="B34" s="201" t="s">
        <v>221</v>
      </c>
      <c r="C34" s="111">
        <v>10</v>
      </c>
      <c r="D34" s="724"/>
      <c r="E34" s="711"/>
      <c r="H34" s="106"/>
    </row>
    <row r="35" spans="1:8">
      <c r="A35" s="81"/>
      <c r="B35" s="146"/>
      <c r="C35" s="110"/>
      <c r="D35" s="76"/>
      <c r="E35" s="134"/>
    </row>
    <row r="36" spans="1:8" ht="30">
      <c r="A36" s="98" t="s">
        <v>183</v>
      </c>
      <c r="B36" s="144"/>
      <c r="C36" s="109"/>
      <c r="D36" s="108"/>
      <c r="E36" s="132">
        <f>E38+E43</f>
        <v>10</v>
      </c>
    </row>
    <row r="37" spans="1:8">
      <c r="A37" s="80"/>
      <c r="B37" s="145"/>
      <c r="C37" s="105"/>
      <c r="D37" s="76"/>
      <c r="E37" s="135"/>
    </row>
    <row r="38" spans="1:8" ht="18.75" customHeight="1">
      <c r="A38" s="719" t="s">
        <v>321</v>
      </c>
      <c r="B38" s="141" t="s">
        <v>222</v>
      </c>
      <c r="C38" s="111">
        <v>3</v>
      </c>
      <c r="D38" s="725">
        <f>ROUND(((('BILANS 2025'!C59+'BILANS 2025'!C64+'BILANS 2025'!C69+'BILANS 2025'!D59+'BILANS 2025'!D64+'BILANS 2025'!D69)/2)*365)/('RZiS 2025'!D10+'RZiS 2025'!D13),2)</f>
        <v>3.19</v>
      </c>
      <c r="E38" s="726">
        <f>IF(D38&lt;45,3,IF(AND(D38&gt;=45,D38&lt;60.5),2,IF(AND(D38&gt;=60.5,D38&lt;=90),1,0)))</f>
        <v>3</v>
      </c>
    </row>
    <row r="39" spans="1:8" ht="18.75" customHeight="1">
      <c r="A39" s="720"/>
      <c r="B39" s="141" t="s">
        <v>223</v>
      </c>
      <c r="C39" s="111">
        <v>2</v>
      </c>
      <c r="D39" s="725"/>
      <c r="E39" s="727"/>
    </row>
    <row r="40" spans="1:8" ht="18.75" customHeight="1">
      <c r="A40" s="720"/>
      <c r="B40" s="141" t="s">
        <v>224</v>
      </c>
      <c r="C40" s="111">
        <v>1</v>
      </c>
      <c r="D40" s="725"/>
      <c r="E40" s="727"/>
    </row>
    <row r="41" spans="1:8" ht="18.75" customHeight="1">
      <c r="A41" s="721"/>
      <c r="B41" s="201" t="s">
        <v>225</v>
      </c>
      <c r="C41" s="111">
        <v>0</v>
      </c>
      <c r="D41" s="725"/>
      <c r="E41" s="728"/>
    </row>
    <row r="42" spans="1:8">
      <c r="A42" s="107"/>
      <c r="B42" s="202"/>
      <c r="C42" s="203"/>
      <c r="D42" s="204"/>
      <c r="E42" s="134"/>
    </row>
    <row r="43" spans="1:8" ht="24" customHeight="1">
      <c r="A43" s="719" t="s">
        <v>322</v>
      </c>
      <c r="B43" s="141" t="s">
        <v>226</v>
      </c>
      <c r="C43" s="111">
        <v>7</v>
      </c>
      <c r="D43" s="731">
        <f>ROUND((('BILANS 2025'!J40+'BILANS 2025'!K40+'BILANS 2025'!J45+'BILANS 2025'!K45+'BILANS 2025'!J53+'BILANS 2025'!K53)/2)*365/('RZiS 2025'!D10+'RZiS 2025'!D13),2)</f>
        <v>8.2200000000000006</v>
      </c>
      <c r="E43" s="709">
        <f>IF(D43&lt;60.5,7,IF(AND(D43&gt;=60.5,D43&lt;=90),4,0))</f>
        <v>7</v>
      </c>
    </row>
    <row r="44" spans="1:8" ht="21.75" customHeight="1">
      <c r="A44" s="720"/>
      <c r="B44" s="141" t="s">
        <v>224</v>
      </c>
      <c r="C44" s="111">
        <v>4</v>
      </c>
      <c r="D44" s="732"/>
      <c r="E44" s="710"/>
    </row>
    <row r="45" spans="1:8" ht="27" customHeight="1">
      <c r="A45" s="721"/>
      <c r="B45" s="141" t="s">
        <v>225</v>
      </c>
      <c r="C45" s="111">
        <v>0</v>
      </c>
      <c r="D45" s="733"/>
      <c r="E45" s="711"/>
    </row>
    <row r="46" spans="1:8">
      <c r="A46" s="81"/>
      <c r="B46" s="146"/>
      <c r="C46" s="110"/>
      <c r="D46" s="76"/>
      <c r="E46" s="134"/>
    </row>
    <row r="47" spans="1:8">
      <c r="A47" s="98" t="s">
        <v>184</v>
      </c>
      <c r="B47" s="144"/>
      <c r="C47" s="109"/>
      <c r="D47" s="108"/>
      <c r="E47" s="132">
        <f>E49+E54</f>
        <v>14</v>
      </c>
    </row>
    <row r="48" spans="1:8">
      <c r="A48" s="81"/>
      <c r="B48" s="142"/>
      <c r="C48" s="104"/>
      <c r="D48" s="76"/>
      <c r="E48" s="134"/>
    </row>
    <row r="49" spans="1:5" ht="18.75" customHeight="1">
      <c r="A49" s="719" t="s">
        <v>243</v>
      </c>
      <c r="B49" s="112" t="s">
        <v>227</v>
      </c>
      <c r="C49" s="111">
        <v>10</v>
      </c>
      <c r="D49" s="748">
        <f>ROUND(('BILANS 2025'!K38+'BILANS 2025'!K29+'BILANS 2025'!K21)/('BILANS 2025'!D95),4)</f>
        <v>0.5081</v>
      </c>
      <c r="E49" s="709">
        <f>IF(D49&lt;40%,10,IF(AND(D49&gt;=40%,D49&lt;=60%),8,IF(AND(D49&gt;60%,D49&lt;=80%),3,0)))</f>
        <v>8</v>
      </c>
    </row>
    <row r="50" spans="1:5">
      <c r="A50" s="720"/>
      <c r="B50" s="112" t="s">
        <v>228</v>
      </c>
      <c r="C50" s="111">
        <v>8</v>
      </c>
      <c r="D50" s="749"/>
      <c r="E50" s="710"/>
    </row>
    <row r="51" spans="1:5">
      <c r="A51" s="720"/>
      <c r="B51" s="112" t="s">
        <v>240</v>
      </c>
      <c r="C51" s="111">
        <v>3</v>
      </c>
      <c r="D51" s="749"/>
      <c r="E51" s="710"/>
    </row>
    <row r="52" spans="1:5">
      <c r="A52" s="721"/>
      <c r="B52" s="112" t="s">
        <v>229</v>
      </c>
      <c r="C52" s="111">
        <v>0</v>
      </c>
      <c r="D52" s="750"/>
      <c r="E52" s="711"/>
    </row>
    <row r="53" spans="1:5">
      <c r="A53" s="81"/>
      <c r="B53" s="146"/>
      <c r="C53" s="110"/>
      <c r="D53" s="138"/>
      <c r="E53" s="134"/>
    </row>
    <row r="54" spans="1:5" ht="19.5" customHeight="1">
      <c r="A54" s="719" t="s">
        <v>244</v>
      </c>
      <c r="B54" s="141" t="s">
        <v>230</v>
      </c>
      <c r="C54" s="111">
        <v>10</v>
      </c>
      <c r="D54" s="729">
        <f>ROUND(('BILANS 2025'!K21+'BILANS 2025'!K29+'BILANS 2025'!K38)/('BILANS 2025'!K8),2)</f>
        <v>1.22</v>
      </c>
      <c r="E54" s="709">
        <f>IF(AND(D54&gt;=0,D54&lt;=0.505),10,IF(AND(D54&gt;0.505,D54&lt;=1),8,IF(AND(D54&gt;1,D54&lt;=2),6,IF(AND(D54&gt;2,D54&lt;=4),4,0))))</f>
        <v>6</v>
      </c>
    </row>
    <row r="55" spans="1:5">
      <c r="A55" s="720"/>
      <c r="B55" s="141" t="s">
        <v>231</v>
      </c>
      <c r="C55" s="111">
        <v>8</v>
      </c>
      <c r="D55" s="729"/>
      <c r="E55" s="710"/>
    </row>
    <row r="56" spans="1:5">
      <c r="A56" s="720"/>
      <c r="B56" s="141" t="s">
        <v>232</v>
      </c>
      <c r="C56" s="111">
        <v>6</v>
      </c>
      <c r="D56" s="729"/>
      <c r="E56" s="710"/>
    </row>
    <row r="57" spans="1:5">
      <c r="A57" s="720"/>
      <c r="B57" s="141" t="s">
        <v>233</v>
      </c>
      <c r="C57" s="111">
        <v>4</v>
      </c>
      <c r="D57" s="729"/>
      <c r="E57" s="710"/>
    </row>
    <row r="58" spans="1:5" ht="25.5">
      <c r="A58" s="721"/>
      <c r="B58" s="201" t="s">
        <v>234</v>
      </c>
      <c r="C58" s="111">
        <v>0</v>
      </c>
      <c r="D58" s="729"/>
      <c r="E58" s="711"/>
    </row>
    <row r="59" spans="1:5">
      <c r="A59" s="81"/>
      <c r="B59" s="146"/>
      <c r="C59" s="110"/>
      <c r="D59" s="149"/>
      <c r="E59" s="134"/>
    </row>
    <row r="60" spans="1:5" ht="24.75" customHeight="1">
      <c r="A60" s="125" t="s">
        <v>188</v>
      </c>
      <c r="B60" s="147"/>
      <c r="C60" s="126"/>
      <c r="D60" s="127"/>
      <c r="E60" s="136">
        <f>E6+E23+E36+E47</f>
        <v>61</v>
      </c>
    </row>
    <row r="63" spans="1:5" ht="29.25" customHeight="1">
      <c r="A63" s="730" t="s">
        <v>303</v>
      </c>
      <c r="B63" s="730"/>
      <c r="C63" s="730"/>
      <c r="D63" s="730"/>
      <c r="E63" s="730"/>
    </row>
  </sheetData>
  <sheetProtection algorithmName="SHA-512" hashValue="jakS6LuBOhBljJbMSyxxM0qzotlZIQC0WZLHXQql+sO/rX6hxNbiWOYlhOsPJxGFXKGsSuX6sgxhK+e9uN+uVg==" saltValue="HrrcoMHwdC6SFAyHt9nkFg==" spinCount="100000" sheet="1" formatCells="0" formatColumns="0" formatRows="0"/>
  <mergeCells count="30">
    <mergeCell ref="A63:E63"/>
    <mergeCell ref="A3:E3"/>
    <mergeCell ref="A8:A11"/>
    <mergeCell ref="B4:C4"/>
    <mergeCell ref="D8:D11"/>
    <mergeCell ref="E8:E11"/>
    <mergeCell ref="A13:A16"/>
    <mergeCell ref="D13:D16"/>
    <mergeCell ref="E13:E16"/>
    <mergeCell ref="A18:A21"/>
    <mergeCell ref="D18:D21"/>
    <mergeCell ref="A25:A29"/>
    <mergeCell ref="D25:D29"/>
    <mergeCell ref="E25:E29"/>
    <mergeCell ref="E18:E21"/>
    <mergeCell ref="A31:A34"/>
    <mergeCell ref="D31:D34"/>
    <mergeCell ref="E31:E34"/>
    <mergeCell ref="A38:A41"/>
    <mergeCell ref="D38:D41"/>
    <mergeCell ref="E38:E41"/>
    <mergeCell ref="A54:A58"/>
    <mergeCell ref="D54:D58"/>
    <mergeCell ref="E54:E58"/>
    <mergeCell ref="A43:A45"/>
    <mergeCell ref="D43:D45"/>
    <mergeCell ref="E43:E45"/>
    <mergeCell ref="A49:A52"/>
    <mergeCell ref="D49:D52"/>
    <mergeCell ref="E49:E52"/>
  </mergeCells>
  <pageMargins left="0.7" right="0.7" top="0.75" bottom="0.75" header="0.3" footer="0.3"/>
  <pageSetup paperSize="9" scale="6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W47"/>
  <sheetViews>
    <sheetView zoomScale="85" zoomScaleNormal="85" workbookViewId="0">
      <pane ySplit="4" topLeftCell="A5" activePane="bottomLeft" state="frozen"/>
      <selection pane="bottomLeft" activeCell="M17" sqref="M17"/>
    </sheetView>
  </sheetViews>
  <sheetFormatPr defaultColWidth="9.140625" defaultRowHeight="15"/>
  <cols>
    <col min="1" max="1" width="44" customWidth="1"/>
    <col min="2" max="2" width="15" customWidth="1"/>
    <col min="3" max="4" width="14.140625" customWidth="1"/>
    <col min="5" max="5" width="16.140625" customWidth="1"/>
    <col min="7" max="7" width="23.28515625" style="558" hidden="1" customWidth="1"/>
    <col min="8" max="10" width="11.5703125" style="558" hidden="1" customWidth="1"/>
    <col min="11" max="11" width="10.7109375" hidden="1" customWidth="1"/>
    <col min="12" max="12" width="0" hidden="1" customWidth="1"/>
    <col min="23" max="24" width="0" hidden="1" customWidth="1"/>
  </cols>
  <sheetData>
    <row r="1" spans="1:23" s="518" customFormat="1">
      <c r="E1" s="518" t="s">
        <v>345</v>
      </c>
      <c r="G1" s="588"/>
      <c r="H1" s="588"/>
      <c r="I1" s="588"/>
      <c r="J1" s="588"/>
    </row>
    <row r="2" spans="1:23" s="518" customFormat="1">
      <c r="G2" s="588"/>
      <c r="H2" s="588"/>
      <c r="I2" s="588"/>
      <c r="J2" s="588"/>
    </row>
    <row r="3" spans="1:23" ht="25.5" customHeight="1" thickBot="1">
      <c r="A3" s="771" t="s">
        <v>190</v>
      </c>
      <c r="B3" s="772"/>
      <c r="C3" s="772"/>
      <c r="D3" s="772"/>
      <c r="E3" s="772"/>
    </row>
    <row r="4" spans="1:23" s="43" customFormat="1" ht="15.75" thickBot="1">
      <c r="A4" s="559"/>
      <c r="B4" s="560" t="str">
        <f ca="1">'RZiS 2022'!D7</f>
        <v>2022</v>
      </c>
      <c r="C4" s="561" t="str">
        <f ca="1">'RZiS 2023'!D7</f>
        <v>2023</v>
      </c>
      <c r="D4" s="561" t="str">
        <f ca="1">'RZiS 2024'!D7</f>
        <v>2024</v>
      </c>
      <c r="E4" s="562" t="str">
        <f ca="1">'RZiS 2025'!D7</f>
        <v>2025</v>
      </c>
      <c r="G4" s="773" t="str">
        <f>A5</f>
        <v>I. WYNIK FINANSOWY</v>
      </c>
      <c r="H4" s="563" t="str">
        <f ca="1">B4</f>
        <v>2022</v>
      </c>
      <c r="I4" s="563" t="str">
        <f t="shared" ref="I4:K4" ca="1" si="0">C4</f>
        <v>2023</v>
      </c>
      <c r="J4" s="563" t="str">
        <f t="shared" ca="1" si="0"/>
        <v>2024</v>
      </c>
      <c r="K4" s="563" t="str">
        <f t="shared" ca="1" si="0"/>
        <v>2025</v>
      </c>
    </row>
    <row r="5" spans="1:23">
      <c r="A5" s="564" t="s">
        <v>191</v>
      </c>
      <c r="B5" s="565">
        <f>'RZiS 2022'!$D$58</f>
        <v>6506172.1300000008</v>
      </c>
      <c r="C5" s="566">
        <f>'RZiS 2023'!$D$58</f>
        <v>5664000</v>
      </c>
      <c r="D5" s="566">
        <f>'RZiS 2024'!$D$58</f>
        <v>6064000</v>
      </c>
      <c r="E5" s="567">
        <f>'RZiS 2025'!$D$58</f>
        <v>6315000</v>
      </c>
      <c r="G5" s="773"/>
      <c r="H5" s="568">
        <f>B5/1000</f>
        <v>6506.1721300000008</v>
      </c>
      <c r="I5" s="568">
        <f t="shared" ref="I5:K5" si="1">C5/1000</f>
        <v>5664</v>
      </c>
      <c r="J5" s="568">
        <f t="shared" si="1"/>
        <v>6064</v>
      </c>
      <c r="K5" s="568">
        <f t="shared" si="1"/>
        <v>6315</v>
      </c>
    </row>
    <row r="6" spans="1:23">
      <c r="A6" s="589" t="s">
        <v>305</v>
      </c>
      <c r="B6" s="570"/>
      <c r="C6" s="76"/>
      <c r="D6" s="76"/>
      <c r="E6" s="571"/>
      <c r="K6" s="558"/>
      <c r="W6" t="s">
        <v>305</v>
      </c>
    </row>
    <row r="7" spans="1:23">
      <c r="A7" s="569"/>
      <c r="B7" s="570"/>
      <c r="C7" s="76"/>
      <c r="D7" s="76"/>
      <c r="E7" s="571"/>
      <c r="K7" s="558"/>
      <c r="W7" t="s">
        <v>307</v>
      </c>
    </row>
    <row r="8" spans="1:23" ht="42" customHeight="1">
      <c r="A8" s="590" t="s">
        <v>346</v>
      </c>
      <c r="B8" s="570"/>
      <c r="C8" s="76"/>
      <c r="D8" s="76"/>
      <c r="E8" s="571"/>
      <c r="K8" s="558"/>
      <c r="W8" t="s">
        <v>306</v>
      </c>
    </row>
    <row r="9" spans="1:23">
      <c r="A9" s="569"/>
      <c r="B9" s="570"/>
      <c r="C9" s="76"/>
      <c r="D9" s="76"/>
      <c r="E9" s="571"/>
      <c r="G9" s="773" t="str">
        <f>A10</f>
        <v>II. MAJĄTEK TRWAŁY</v>
      </c>
      <c r="H9" s="563">
        <v>2018</v>
      </c>
      <c r="I9" s="563">
        <v>2019</v>
      </c>
      <c r="J9" s="563">
        <v>2020</v>
      </c>
      <c r="K9" s="563">
        <v>2021</v>
      </c>
    </row>
    <row r="10" spans="1:23">
      <c r="A10" s="572" t="s">
        <v>192</v>
      </c>
      <c r="B10" s="573">
        <f>'BILANS 2022'!$D$8</f>
        <v>28702198.990000002</v>
      </c>
      <c r="C10" s="269">
        <f>'BILANS 2023'!$D$8</f>
        <v>35494771.659999996</v>
      </c>
      <c r="D10" s="269">
        <f>'BILANS 2024'!$D$8</f>
        <v>35682364.829999998</v>
      </c>
      <c r="E10" s="574">
        <f>'BILANS 2025'!$D$8</f>
        <v>35850589.829999998</v>
      </c>
      <c r="G10" s="773"/>
      <c r="H10" s="568">
        <f>B10/1000</f>
        <v>28702.198990000001</v>
      </c>
      <c r="I10" s="568">
        <f t="shared" ref="I10" si="2">C10/1000</f>
        <v>35494.771659999999</v>
      </c>
      <c r="J10" s="568">
        <f t="shared" ref="J10:K10" si="3">D10/1000</f>
        <v>35682.364829999999</v>
      </c>
      <c r="K10" s="568">
        <f t="shared" si="3"/>
        <v>35850.589829999997</v>
      </c>
    </row>
    <row r="11" spans="1:23">
      <c r="A11" s="589" t="s">
        <v>307</v>
      </c>
      <c r="B11" s="570"/>
      <c r="C11" s="76"/>
      <c r="D11" s="76"/>
      <c r="E11" s="571"/>
      <c r="K11" s="558"/>
    </row>
    <row r="12" spans="1:23">
      <c r="A12" s="569"/>
      <c r="B12" s="570"/>
      <c r="C12" s="76"/>
      <c r="D12" s="76"/>
      <c r="E12" s="571"/>
      <c r="K12" s="558"/>
    </row>
    <row r="13" spans="1:23" ht="46.5" customHeight="1">
      <c r="A13" s="590" t="s">
        <v>346</v>
      </c>
      <c r="B13" s="570"/>
      <c r="C13" s="76"/>
      <c r="D13" s="76"/>
      <c r="E13" s="571"/>
      <c r="K13" s="558"/>
    </row>
    <row r="14" spans="1:23">
      <c r="A14" s="569"/>
      <c r="B14" s="570"/>
      <c r="C14" s="76"/>
      <c r="D14" s="76"/>
      <c r="E14" s="571"/>
      <c r="G14" s="773" t="str">
        <f>A15</f>
        <v>III. KAPITAŁ WŁASNY</v>
      </c>
      <c r="H14" s="563">
        <v>2018</v>
      </c>
      <c r="I14" s="563">
        <v>2019</v>
      </c>
      <c r="J14" s="563">
        <v>2020</v>
      </c>
      <c r="K14" s="563">
        <v>2021</v>
      </c>
    </row>
    <row r="15" spans="1:23">
      <c r="A15" s="572" t="s">
        <v>193</v>
      </c>
      <c r="B15" s="573">
        <f>'BILANS 2022'!$K$8</f>
        <v>22641842.829999998</v>
      </c>
      <c r="C15" s="269">
        <f>'BILANS 2023'!$K$8</f>
        <v>28305842.829999998</v>
      </c>
      <c r="D15" s="269">
        <f>'BILANS 2024'!$K$8</f>
        <v>34369842.829999998</v>
      </c>
      <c r="E15" s="574">
        <f>'BILANS 2025'!$K$8</f>
        <v>40684842.829999998</v>
      </c>
      <c r="G15" s="773"/>
      <c r="H15" s="568">
        <f>B15/1000</f>
        <v>22641.842829999998</v>
      </c>
      <c r="I15" s="568">
        <f t="shared" ref="I15" si="4">C15/1000</f>
        <v>28305.842829999998</v>
      </c>
      <c r="J15" s="568">
        <f t="shared" ref="J15:K15" si="5">D15/1000</f>
        <v>34369.842830000001</v>
      </c>
      <c r="K15" s="568">
        <f t="shared" si="5"/>
        <v>40684.842830000001</v>
      </c>
    </row>
    <row r="16" spans="1:23">
      <c r="A16" s="589" t="s">
        <v>305</v>
      </c>
      <c r="B16" s="570"/>
      <c r="C16" s="76"/>
      <c r="D16" s="76"/>
      <c r="E16" s="571"/>
    </row>
    <row r="17" spans="1:5">
      <c r="A17" s="569"/>
      <c r="B17" s="570"/>
      <c r="C17" s="76"/>
      <c r="D17" s="76"/>
      <c r="E17" s="571"/>
    </row>
    <row r="18" spans="1:5" ht="42" customHeight="1">
      <c r="A18" s="591" t="s">
        <v>346</v>
      </c>
      <c r="B18" s="570"/>
      <c r="C18" s="76"/>
      <c r="D18" s="76"/>
      <c r="E18" s="571"/>
    </row>
    <row r="19" spans="1:5">
      <c r="A19" s="569"/>
      <c r="B19" s="570"/>
      <c r="C19" s="76"/>
      <c r="D19" s="76"/>
      <c r="E19" s="571"/>
    </row>
    <row r="20" spans="1:5">
      <c r="A20" s="572" t="s">
        <v>194</v>
      </c>
      <c r="B20" s="570"/>
      <c r="C20" s="76"/>
      <c r="D20" s="76"/>
      <c r="E20" s="571"/>
    </row>
    <row r="21" spans="1:5">
      <c r="A21" s="569"/>
      <c r="B21" s="570"/>
      <c r="C21" s="76"/>
      <c r="D21" s="76"/>
      <c r="E21" s="571"/>
    </row>
    <row r="22" spans="1:5">
      <c r="A22" s="575" t="s">
        <v>180</v>
      </c>
      <c r="B22" s="570"/>
      <c r="C22" s="76"/>
      <c r="D22" s="76"/>
      <c r="E22" s="571"/>
    </row>
    <row r="23" spans="1:5">
      <c r="A23" s="576"/>
      <c r="B23" s="570"/>
      <c r="C23" s="76"/>
      <c r="D23" s="76"/>
      <c r="E23" s="571"/>
    </row>
    <row r="24" spans="1:5">
      <c r="A24" s="577" t="s">
        <v>195</v>
      </c>
      <c r="B24" s="578">
        <f>'Analiza wskaźnikowa za 2022 rok'!$D$8</f>
        <v>2.5600000000000001E-2</v>
      </c>
      <c r="C24" s="137">
        <f>'Analiza wskaźnikowa za 2023 rok'!$D$8</f>
        <v>2.1100000000000001E-2</v>
      </c>
      <c r="D24" s="137">
        <f>'Analiza wskaźnikowa za 2024 rok'!$D$8</f>
        <v>2.1499999999999998E-2</v>
      </c>
      <c r="E24" s="579">
        <f>'Analiza wskaźnikowa za 2025 rok'!$D$8</f>
        <v>2.0799999999999999E-2</v>
      </c>
    </row>
    <row r="25" spans="1:5">
      <c r="A25" s="576"/>
      <c r="B25" s="578"/>
      <c r="C25" s="137"/>
      <c r="D25" s="137"/>
      <c r="E25" s="579"/>
    </row>
    <row r="26" spans="1:5" ht="30">
      <c r="A26" s="576" t="s">
        <v>196</v>
      </c>
      <c r="B26" s="578">
        <f>'Analiza wskaźnikowa za 2022 rok'!$D$13</f>
        <v>2.5499999999999998E-2</v>
      </c>
      <c r="C26" s="137">
        <f>'Analiza wskaźnikowa za 2023 rok'!$D$13</f>
        <v>1.9300000000000001E-2</v>
      </c>
      <c r="D26" s="137">
        <f>'Analiza wskaźnikowa za 2024 rok'!$D$13</f>
        <v>1.9900000000000001E-2</v>
      </c>
      <c r="E26" s="579">
        <f>'Analiza wskaźnikowa za 2025 rok'!$D$13</f>
        <v>1.9400000000000001E-2</v>
      </c>
    </row>
    <row r="27" spans="1:5">
      <c r="A27" s="576"/>
      <c r="B27" s="578"/>
      <c r="C27" s="137"/>
      <c r="D27" s="137"/>
      <c r="E27" s="579"/>
    </row>
    <row r="28" spans="1:5">
      <c r="A28" s="577" t="s">
        <v>197</v>
      </c>
      <c r="B28" s="578">
        <f>'Analiza wskaźnikowa za 2022 rok'!$D$18</f>
        <v>8.4599999999999995E-2</v>
      </c>
      <c r="C28" s="137">
        <f>'Analiza wskaźnikowa za 2023 rok'!$D$18</f>
        <v>6.7000000000000004E-2</v>
      </c>
      <c r="D28" s="137">
        <f>'Analiza wskaźnikowa za 2024 rok'!$D$18</f>
        <v>6.6699999999999995E-2</v>
      </c>
      <c r="E28" s="579">
        <f>'Analiza wskaźnikowa za 2025 rok'!$D$18</f>
        <v>6.6199999999999995E-2</v>
      </c>
    </row>
    <row r="29" spans="1:5">
      <c r="A29" s="576"/>
      <c r="B29" s="570"/>
      <c r="C29" s="76"/>
      <c r="D29" s="76"/>
      <c r="E29" s="571"/>
    </row>
    <row r="30" spans="1:5">
      <c r="A30" s="575" t="s">
        <v>181</v>
      </c>
      <c r="B30" s="570"/>
      <c r="C30" s="76"/>
      <c r="D30" s="76"/>
      <c r="E30" s="571"/>
    </row>
    <row r="31" spans="1:5">
      <c r="A31" s="576"/>
      <c r="B31" s="570"/>
      <c r="C31" s="76"/>
      <c r="D31" s="76"/>
      <c r="E31" s="571"/>
    </row>
    <row r="32" spans="1:5">
      <c r="A32" s="577" t="s">
        <v>182</v>
      </c>
      <c r="B32" s="573">
        <f>'Analiza wskaźnikowa za 2022 rok'!$D$25</f>
        <v>1.49</v>
      </c>
      <c r="C32" s="269">
        <f>'Analiza wskaźnikowa za 2023 rok'!$D$25</f>
        <v>1.52</v>
      </c>
      <c r="D32" s="269">
        <f>'Analiza wskaźnikowa za 2024 rok'!$D$25</f>
        <v>1.61</v>
      </c>
      <c r="E32" s="574">
        <f>'Analiza wskaźnikowa za 2025 rok'!$D$25</f>
        <v>1.72</v>
      </c>
    </row>
    <row r="33" spans="1:5">
      <c r="A33" s="576"/>
      <c r="B33" s="573"/>
      <c r="C33" s="269"/>
      <c r="D33" s="269"/>
      <c r="E33" s="574"/>
    </row>
    <row r="34" spans="1:5">
      <c r="A34" s="577" t="s">
        <v>198</v>
      </c>
      <c r="B34" s="573">
        <f>'Analiza wskaźnikowa za 2022 rok'!$D$31</f>
        <v>1.47</v>
      </c>
      <c r="C34" s="269">
        <f>'Analiza wskaźnikowa za 2023 rok'!$D$31</f>
        <v>1.5</v>
      </c>
      <c r="D34" s="269">
        <f>'Analiza wskaźnikowa za 2024 rok'!$D$31</f>
        <v>1.6</v>
      </c>
      <c r="E34" s="574">
        <f>'Analiza wskaźnikowa za 2025 rok'!$D$31</f>
        <v>1.7</v>
      </c>
    </row>
    <row r="35" spans="1:5">
      <c r="A35" s="576"/>
      <c r="B35" s="573"/>
      <c r="C35" s="269"/>
      <c r="D35" s="269"/>
      <c r="E35" s="574"/>
    </row>
    <row r="36" spans="1:5" ht="30">
      <c r="A36" s="575" t="s">
        <v>183</v>
      </c>
      <c r="B36" s="570"/>
      <c r="C36" s="76"/>
      <c r="D36" s="76"/>
      <c r="E36" s="571"/>
    </row>
    <row r="37" spans="1:5">
      <c r="A37" s="576"/>
      <c r="B37" s="570"/>
      <c r="C37" s="76"/>
      <c r="D37" s="76"/>
      <c r="E37" s="571"/>
    </row>
    <row r="38" spans="1:5">
      <c r="A38" s="577" t="s">
        <v>199</v>
      </c>
      <c r="B38" s="580">
        <f>'Analiza wskaźnikowa za 2022 rok'!$D$38</f>
        <v>5.83</v>
      </c>
      <c r="C38" s="581">
        <f>'Analiza wskaźnikowa za 2023 rok'!$D$38</f>
        <v>3.01</v>
      </c>
      <c r="D38" s="581">
        <f>'Analiza wskaźnikowa za 2024 rok'!$D$38</f>
        <v>3.23</v>
      </c>
      <c r="E38" s="582">
        <f>'Analiza wskaźnikowa za 2025 rok'!$D$38</f>
        <v>3.19</v>
      </c>
    </row>
    <row r="39" spans="1:5">
      <c r="A39" s="576"/>
      <c r="B39" s="580"/>
      <c r="C39" s="581"/>
      <c r="D39" s="581"/>
      <c r="E39" s="582"/>
    </row>
    <row r="40" spans="1:5">
      <c r="A40" s="577" t="s">
        <v>200</v>
      </c>
      <c r="B40" s="580">
        <f>'Analiza wskaźnikowa za 2022 rok'!$D$43</f>
        <v>9.8699999999999992</v>
      </c>
      <c r="C40" s="581">
        <f>'Analiza wskaźnikowa za 2023 rok'!$D$43</f>
        <v>8.77</v>
      </c>
      <c r="D40" s="581">
        <f>'Analiza wskaźnikowa za 2024 rok'!$D$43</f>
        <v>8.58</v>
      </c>
      <c r="E40" s="582">
        <f>'Analiza wskaźnikowa za 2025 rok'!$D$43</f>
        <v>8.2200000000000006</v>
      </c>
    </row>
    <row r="41" spans="1:5">
      <c r="A41" s="576"/>
      <c r="B41" s="570"/>
      <c r="C41" s="76"/>
      <c r="D41" s="76"/>
      <c r="E41" s="571"/>
    </row>
    <row r="42" spans="1:5">
      <c r="A42" s="575" t="s">
        <v>184</v>
      </c>
      <c r="B42" s="570"/>
      <c r="C42" s="76"/>
      <c r="D42" s="76"/>
      <c r="E42" s="571"/>
    </row>
    <row r="43" spans="1:5">
      <c r="A43" s="576"/>
      <c r="B43" s="570"/>
      <c r="C43" s="76"/>
      <c r="D43" s="76"/>
      <c r="E43" s="571"/>
    </row>
    <row r="44" spans="1:5">
      <c r="A44" s="577" t="s">
        <v>201</v>
      </c>
      <c r="B44" s="676">
        <f>'Analiza wskaźnikowa za 2022 rok'!$D$49</f>
        <v>0.56679999999999997</v>
      </c>
      <c r="C44" s="138">
        <f>'Analiza wskaźnikowa za 2023 rok'!$D$49</f>
        <v>0.53800000000000003</v>
      </c>
      <c r="D44" s="138">
        <f>'Analiza wskaźnikowa za 2024 rok'!$D$49</f>
        <v>0.52680000000000005</v>
      </c>
      <c r="E44" s="583">
        <f>'Analiza wskaźnikowa za 2025 rok'!$D$49</f>
        <v>0.5081</v>
      </c>
    </row>
    <row r="45" spans="1:5">
      <c r="A45" s="576"/>
      <c r="B45" s="676"/>
      <c r="C45" s="138"/>
      <c r="D45" s="138"/>
      <c r="E45" s="583"/>
    </row>
    <row r="46" spans="1:5">
      <c r="A46" s="577" t="s">
        <v>202</v>
      </c>
      <c r="B46" s="573">
        <f>'Analiza wskaźnikowa za 2022 rok'!$D$54</f>
        <v>2.02</v>
      </c>
      <c r="C46" s="269">
        <f>'Analiza wskaźnikowa za 2023 rok'!$D$54</f>
        <v>1.68</v>
      </c>
      <c r="D46" s="269">
        <f>'Analiza wskaźnikowa za 2024 rok'!$D$54</f>
        <v>1.43</v>
      </c>
      <c r="E46" s="574">
        <f>'Analiza wskaźnikowa za 2025 rok'!$D$54</f>
        <v>1.22</v>
      </c>
    </row>
    <row r="47" spans="1:5" ht="15.75" thickBot="1">
      <c r="A47" s="584"/>
      <c r="B47" s="585"/>
      <c r="C47" s="586"/>
      <c r="D47" s="586"/>
      <c r="E47" s="587"/>
    </row>
  </sheetData>
  <sheetProtection algorithmName="SHA-512" hashValue="4UdVQNrz4vxFQbybstpg+BcJ3b9VQGj5EOgdgx8Waltx7uvAjW7dHZ78MhEgYQg6zBkVv1NelyaLO2+tEoy0yg==" saltValue="Z6AHDBYtptNCkztmWM+xoQ==" spinCount="100000" sheet="1" formatCells="0" formatColumns="0" formatRows="0"/>
  <mergeCells count="4">
    <mergeCell ref="A3:E3"/>
    <mergeCell ref="G4:G5"/>
    <mergeCell ref="G9:G10"/>
    <mergeCell ref="G14:G15"/>
  </mergeCells>
  <dataValidations count="1">
    <dataValidation type="list" allowBlank="1" showInputMessage="1" showErrorMessage="1" sqref="A6 A11 A16" xr:uid="{00000000-0002-0000-0F00-000000000000}">
      <formula1>$W$6:$W$8</formula1>
    </dataValidation>
  </dataValidations>
  <pageMargins left="0.7" right="0.7" top="0.75" bottom="0.75" header="0.3" footer="0.3"/>
  <pageSetup paperSize="9" scale="8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MT135"/>
  <sheetViews>
    <sheetView topLeftCell="R1" zoomScale="70" zoomScaleNormal="70" workbookViewId="0">
      <pane ySplit="6" topLeftCell="A7" activePane="bottomLeft" state="frozen"/>
      <selection activeCell="J3" sqref="J3"/>
      <selection pane="bottomLeft" activeCell="AG24" sqref="AG24"/>
    </sheetView>
  </sheetViews>
  <sheetFormatPr defaultColWidth="9.140625" defaultRowHeight="15"/>
  <cols>
    <col min="1" max="1" width="9.7109375" style="221" bestFit="1" customWidth="1"/>
    <col min="2" max="2" width="50.42578125" customWidth="1"/>
    <col min="3" max="3" width="14.5703125" bestFit="1" customWidth="1"/>
    <col min="4" max="6" width="16.42578125" customWidth="1"/>
    <col min="7" max="7" width="15.85546875" bestFit="1" customWidth="1"/>
    <col min="8" max="9" width="15.85546875" customWidth="1"/>
    <col min="10" max="12" width="16.42578125" customWidth="1"/>
    <col min="13" max="13" width="1.28515625" customWidth="1"/>
    <col min="14" max="14" width="4.28515625" style="221" customWidth="1"/>
    <col min="15" max="15" width="49.5703125" customWidth="1"/>
    <col min="16" max="17" width="15.85546875" bestFit="1" customWidth="1"/>
    <col min="18" max="19" width="15.85546875" customWidth="1"/>
    <col min="20" max="20" width="15.85546875" bestFit="1" customWidth="1"/>
    <col min="21" max="22" width="15.85546875" customWidth="1"/>
    <col min="23" max="23" width="15.85546875" bestFit="1" customWidth="1"/>
    <col min="24" max="25" width="15.85546875" customWidth="1"/>
    <col min="26" max="27" width="14.85546875" bestFit="1" customWidth="1"/>
  </cols>
  <sheetData>
    <row r="1" spans="1:27">
      <c r="A1" s="15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5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7">
      <c r="A2" s="152"/>
      <c r="B2" s="3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5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>
      <c r="A3" s="152"/>
      <c r="B3" s="4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5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7" ht="15.75" customHeight="1" thickBot="1">
      <c r="A4" s="222"/>
      <c r="B4" s="299"/>
      <c r="C4" s="703" t="s">
        <v>301</v>
      </c>
      <c r="D4" s="703"/>
      <c r="E4" s="703"/>
      <c r="F4" s="703"/>
      <c r="G4" s="703"/>
      <c r="H4" s="703"/>
      <c r="I4" s="703"/>
      <c r="J4" s="703"/>
      <c r="K4" s="703"/>
      <c r="L4" s="703"/>
      <c r="M4" s="703"/>
      <c r="N4" s="703"/>
      <c r="O4" s="703"/>
      <c r="P4" s="687" t="s">
        <v>205</v>
      </c>
      <c r="Q4" s="687"/>
      <c r="R4" s="593"/>
      <c r="S4" s="593"/>
      <c r="T4" s="687" t="s">
        <v>205</v>
      </c>
      <c r="U4" s="687"/>
      <c r="V4" s="687"/>
      <c r="W4" s="687"/>
    </row>
    <row r="5" spans="1:27" ht="15.75" thickBot="1">
      <c r="A5" s="15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52"/>
      <c r="O5" s="2"/>
    </row>
    <row r="6" spans="1:27" s="480" customFormat="1" ht="42.75" customHeight="1" thickBot="1">
      <c r="A6" s="471"/>
      <c r="B6" s="472" t="s">
        <v>2</v>
      </c>
      <c r="C6" s="473" t="str">
        <f ca="1">'BILANS 2022'!$D7</f>
        <v>31.12.2022</v>
      </c>
      <c r="D6" s="474" t="str">
        <f ca="1">'BILANS 2023'!D7</f>
        <v>31.12.2023</v>
      </c>
      <c r="E6" s="474" t="s">
        <v>312</v>
      </c>
      <c r="F6" s="474" t="s">
        <v>209</v>
      </c>
      <c r="G6" s="475" t="str">
        <f ca="1">'BILANS 2024'!D7</f>
        <v>31.12.2024</v>
      </c>
      <c r="H6" s="353" t="str">
        <f ca="1">CONCATENATE("Różnica"," ",G6,"-",D6)</f>
        <v>Różnica 31.12.2024-31.12.2023</v>
      </c>
      <c r="I6" s="353" t="s">
        <v>209</v>
      </c>
      <c r="J6" s="476" t="str">
        <f ca="1">'BILANS 2025'!D7</f>
        <v>31.12.2025</v>
      </c>
      <c r="K6" s="353" t="str">
        <f ca="1">CONCATENATE("Różnica"," ",J6,"-",G6)</f>
        <v>Różnica 31.12.2025-31.12.2024</v>
      </c>
      <c r="L6" s="353" t="s">
        <v>209</v>
      </c>
      <c r="M6" s="477"/>
      <c r="N6" s="471"/>
      <c r="O6" s="478" t="s">
        <v>4</v>
      </c>
      <c r="P6" s="479" t="str">
        <f ca="1">'BILANS 2022'!$K7</f>
        <v>31.12.2022</v>
      </c>
      <c r="Q6" s="479" t="str">
        <f ca="1">'BILANS 2023'!$K7</f>
        <v>31.12.2023</v>
      </c>
      <c r="R6" s="479" t="s">
        <v>317</v>
      </c>
      <c r="S6" s="479" t="s">
        <v>209</v>
      </c>
      <c r="T6" s="479" t="str">
        <f ca="1">'BILANS 2024'!$K7</f>
        <v>31.12.2024</v>
      </c>
      <c r="U6" s="600" t="s">
        <v>313</v>
      </c>
      <c r="V6" s="600" t="s">
        <v>209</v>
      </c>
      <c r="W6" s="479" t="str">
        <f ca="1">'BILANS 2025'!$K7</f>
        <v>31.12.2025</v>
      </c>
      <c r="X6" s="600" t="s">
        <v>318</v>
      </c>
      <c r="Y6" s="601" t="s">
        <v>209</v>
      </c>
    </row>
    <row r="7" spans="1:27" ht="15.75" thickBot="1">
      <c r="A7" s="5" t="s">
        <v>5</v>
      </c>
      <c r="B7" s="179" t="s">
        <v>6</v>
      </c>
      <c r="C7" s="6">
        <f>'BILANS 2022'!$D8</f>
        <v>28702198.990000002</v>
      </c>
      <c r="D7" s="6">
        <f>'BILANS 2023'!D8</f>
        <v>35494771.659999996</v>
      </c>
      <c r="E7" s="6">
        <f>D7-C7</f>
        <v>6792572.6699999943</v>
      </c>
      <c r="F7" s="602">
        <f>E7/C7</f>
        <v>0.23665687330669552</v>
      </c>
      <c r="G7" s="6">
        <f>'BILANS 2024'!D8</f>
        <v>35682364.829999998</v>
      </c>
      <c r="H7" s="6">
        <f>G7-D7</f>
        <v>187593.17000000179</v>
      </c>
      <c r="I7" s="602">
        <f>H7/D7</f>
        <v>5.2850930214999956E-3</v>
      </c>
      <c r="J7" s="6">
        <f>'BILANS 2025'!D8</f>
        <v>35850589.829999998</v>
      </c>
      <c r="K7" s="6">
        <f>J7-G7</f>
        <v>168225</v>
      </c>
      <c r="L7" s="602">
        <f>K7/G7</f>
        <v>4.7145137605499902E-3</v>
      </c>
      <c r="M7" s="226"/>
      <c r="N7" s="93" t="s">
        <v>5</v>
      </c>
      <c r="O7" s="301" t="s">
        <v>7</v>
      </c>
      <c r="P7" s="302">
        <f>'BILANS 2022'!$K8</f>
        <v>22641842.829999998</v>
      </c>
      <c r="Q7" s="302">
        <f>'BILANS 2023'!$K8</f>
        <v>28305842.829999998</v>
      </c>
      <c r="R7" s="302">
        <f>Q7-P7</f>
        <v>5664000</v>
      </c>
      <c r="S7" s="620">
        <f>R7/P7</f>
        <v>0.25015631645032493</v>
      </c>
      <c r="T7" s="302">
        <f>'BILANS 2024'!$K8</f>
        <v>34369842.829999998</v>
      </c>
      <c r="U7" s="302">
        <f>T7-Q7</f>
        <v>6064000</v>
      </c>
      <c r="V7" s="620">
        <f>U7/Q7</f>
        <v>0.21423138807133693</v>
      </c>
      <c r="W7" s="302">
        <f>'BILANS 2025'!$K8</f>
        <v>40684842.829999998</v>
      </c>
      <c r="X7" s="302">
        <f>W7-T7</f>
        <v>6315000</v>
      </c>
      <c r="Y7" s="649">
        <f>X7/T7</f>
        <v>0.18373665632500072</v>
      </c>
    </row>
    <row r="8" spans="1:27" ht="15.75" thickBot="1">
      <c r="A8" s="8" t="s">
        <v>8</v>
      </c>
      <c r="B8" s="28" t="s">
        <v>206</v>
      </c>
      <c r="C8" s="9">
        <f>'BILANS 2022'!$D9</f>
        <v>100853.82</v>
      </c>
      <c r="D8" s="82">
        <f>'BILANS 2023'!D9</f>
        <v>150190.14000000001</v>
      </c>
      <c r="E8" s="82">
        <f t="shared" ref="E8:E71" si="0">D8-C8</f>
        <v>49336.320000000007</v>
      </c>
      <c r="F8" s="603">
        <f t="shared" ref="F8:F71" si="1">E8/C8</f>
        <v>0.48918642843672161</v>
      </c>
      <c r="G8" s="82">
        <f>'BILANS 2024'!D9</f>
        <v>153683.31</v>
      </c>
      <c r="H8" s="82">
        <f t="shared" ref="H8:H71" si="2">G8-D8</f>
        <v>3493.1699999999837</v>
      </c>
      <c r="I8" s="603">
        <f t="shared" ref="I8:I71" si="3">H8/D8</f>
        <v>2.3258317756411861E-2</v>
      </c>
      <c r="J8" s="82">
        <f>'BILANS 2025'!D9</f>
        <v>189908.31</v>
      </c>
      <c r="K8" s="82">
        <f t="shared" ref="K8:K71" si="4">J8-G8</f>
        <v>36225</v>
      </c>
      <c r="L8" s="603">
        <f t="shared" ref="L8:L71" si="5">K8/G8</f>
        <v>0.23571199761379424</v>
      </c>
      <c r="M8" s="226"/>
      <c r="N8" s="94" t="s">
        <v>8</v>
      </c>
      <c r="O8" s="303" t="s">
        <v>9</v>
      </c>
      <c r="P8" s="304">
        <f>'BILANS 2022'!$K9</f>
        <v>35420985.210000001</v>
      </c>
      <c r="Q8" s="304">
        <f>'BILANS 2023'!$K9</f>
        <v>35420985.210000001</v>
      </c>
      <c r="R8" s="304">
        <f t="shared" ref="R8:R71" si="6">Q8-P8</f>
        <v>0</v>
      </c>
      <c r="S8" s="621">
        <f t="shared" ref="S8:S71" si="7">R8/P8</f>
        <v>0</v>
      </c>
      <c r="T8" s="304">
        <f>'BILANS 2024'!$K9</f>
        <v>35420985.210000001</v>
      </c>
      <c r="U8" s="116">
        <f t="shared" ref="U8:U71" si="8">T8-Q8</f>
        <v>0</v>
      </c>
      <c r="V8" s="639">
        <f t="shared" ref="V8:V71" si="9">U8/Q8</f>
        <v>0</v>
      </c>
      <c r="W8" s="305">
        <f>'BILANS 2025'!$K9</f>
        <v>35420985.210000001</v>
      </c>
      <c r="X8" s="116">
        <f t="shared" ref="X8:X71" si="10">W8-T8</f>
        <v>0</v>
      </c>
      <c r="Y8" s="650">
        <f t="shared" ref="Y8:Y71" si="11">X8/T8</f>
        <v>0</v>
      </c>
    </row>
    <row r="9" spans="1:27">
      <c r="A9" s="12">
        <v>1</v>
      </c>
      <c r="B9" s="30" t="s">
        <v>10</v>
      </c>
      <c r="C9" s="13">
        <f>'BILANS 2022'!$D10</f>
        <v>0</v>
      </c>
      <c r="D9" s="83">
        <f>'BILANS 2023'!D10</f>
        <v>0</v>
      </c>
      <c r="E9" s="83">
        <f t="shared" si="0"/>
        <v>0</v>
      </c>
      <c r="F9" s="604" t="e">
        <f t="shared" si="1"/>
        <v>#DIV/0!</v>
      </c>
      <c r="G9" s="83">
        <f>'BILANS 2024'!D10</f>
        <v>0</v>
      </c>
      <c r="H9" s="83">
        <f t="shared" si="2"/>
        <v>0</v>
      </c>
      <c r="I9" s="604" t="e">
        <f t="shared" si="3"/>
        <v>#DIV/0!</v>
      </c>
      <c r="J9" s="83">
        <f>'BILANS 2025'!D10</f>
        <v>0</v>
      </c>
      <c r="K9" s="83">
        <f t="shared" si="4"/>
        <v>0</v>
      </c>
      <c r="L9" s="604" t="e">
        <f t="shared" si="5"/>
        <v>#DIV/0!</v>
      </c>
      <c r="M9" s="226"/>
      <c r="N9" s="94" t="s">
        <v>11</v>
      </c>
      <c r="O9" s="303" t="s">
        <v>171</v>
      </c>
      <c r="P9" s="304">
        <f>'BILANS 2022'!$K10</f>
        <v>0</v>
      </c>
      <c r="Q9" s="304">
        <f>'BILANS 2023'!$K10</f>
        <v>0</v>
      </c>
      <c r="R9" s="304">
        <f t="shared" si="6"/>
        <v>0</v>
      </c>
      <c r="S9" s="621" t="e">
        <f t="shared" si="7"/>
        <v>#DIV/0!</v>
      </c>
      <c r="T9" s="304">
        <f>'BILANS 2024'!$K10</f>
        <v>0</v>
      </c>
      <c r="U9" s="116">
        <f t="shared" si="8"/>
        <v>0</v>
      </c>
      <c r="V9" s="639" t="e">
        <f t="shared" si="9"/>
        <v>#DIV/0!</v>
      </c>
      <c r="W9" s="305">
        <f>'BILANS 2025'!$K10</f>
        <v>0</v>
      </c>
      <c r="X9" s="116">
        <f t="shared" si="10"/>
        <v>0</v>
      </c>
      <c r="Y9" s="650" t="e">
        <f t="shared" si="11"/>
        <v>#DIV/0!</v>
      </c>
    </row>
    <row r="10" spans="1:27" ht="30.75" thickBot="1">
      <c r="A10" s="12">
        <v>2</v>
      </c>
      <c r="B10" s="30" t="s">
        <v>12</v>
      </c>
      <c r="C10" s="13">
        <f>'BILANS 2022'!$D11</f>
        <v>0</v>
      </c>
      <c r="D10" s="83">
        <f>'BILANS 2023'!D11</f>
        <v>0</v>
      </c>
      <c r="E10" s="83">
        <f t="shared" si="0"/>
        <v>0</v>
      </c>
      <c r="F10" s="604" t="e">
        <f t="shared" si="1"/>
        <v>#DIV/0!</v>
      </c>
      <c r="G10" s="83">
        <f>'BILANS 2024'!D11</f>
        <v>0</v>
      </c>
      <c r="H10" s="83">
        <f t="shared" si="2"/>
        <v>0</v>
      </c>
      <c r="I10" s="604" t="e">
        <f t="shared" si="3"/>
        <v>#DIV/0!</v>
      </c>
      <c r="J10" s="83">
        <f>'BILANS 2025'!D11</f>
        <v>0</v>
      </c>
      <c r="K10" s="83">
        <f t="shared" si="4"/>
        <v>0</v>
      </c>
      <c r="L10" s="604" t="e">
        <f t="shared" si="5"/>
        <v>#DIV/0!</v>
      </c>
      <c r="M10" s="226"/>
      <c r="N10" s="217"/>
      <c r="O10" s="306" t="s">
        <v>13</v>
      </c>
      <c r="P10" s="307">
        <f>'BILANS 2022'!$K11</f>
        <v>0</v>
      </c>
      <c r="Q10" s="307">
        <f>'BILANS 2023'!$K11</f>
        <v>0</v>
      </c>
      <c r="R10" s="307">
        <f t="shared" si="6"/>
        <v>0</v>
      </c>
      <c r="S10" s="622" t="e">
        <f t="shared" si="7"/>
        <v>#DIV/0!</v>
      </c>
      <c r="T10" s="307">
        <f>'BILANS 2024'!$K11</f>
        <v>0</v>
      </c>
      <c r="U10" s="596">
        <f t="shared" si="8"/>
        <v>0</v>
      </c>
      <c r="V10" s="640" t="e">
        <f t="shared" si="9"/>
        <v>#DIV/0!</v>
      </c>
      <c r="W10" s="214">
        <f>'BILANS 2025'!$K11</f>
        <v>0</v>
      </c>
      <c r="X10" s="596">
        <f t="shared" si="10"/>
        <v>0</v>
      </c>
      <c r="Y10" s="651" t="e">
        <f t="shared" si="11"/>
        <v>#DIV/0!</v>
      </c>
    </row>
    <row r="11" spans="1:27">
      <c r="A11" s="12">
        <v>3</v>
      </c>
      <c r="B11" s="30" t="s">
        <v>14</v>
      </c>
      <c r="C11" s="13">
        <f>'BILANS 2022'!$D12</f>
        <v>100853.82</v>
      </c>
      <c r="D11" s="83">
        <f>'BILANS 2023'!D12</f>
        <v>150190.14000000001</v>
      </c>
      <c r="E11" s="83">
        <f t="shared" si="0"/>
        <v>49336.320000000007</v>
      </c>
      <c r="F11" s="604">
        <f t="shared" si="1"/>
        <v>0.48918642843672161</v>
      </c>
      <c r="G11" s="83">
        <f>'BILANS 2024'!D12</f>
        <v>153683.31</v>
      </c>
      <c r="H11" s="83">
        <f t="shared" si="2"/>
        <v>3493.1699999999837</v>
      </c>
      <c r="I11" s="604">
        <f t="shared" si="3"/>
        <v>2.3258317756411861E-2</v>
      </c>
      <c r="J11" s="83">
        <f>'BILANS 2025'!D12</f>
        <v>189908.31</v>
      </c>
      <c r="K11" s="83">
        <f t="shared" si="4"/>
        <v>36225</v>
      </c>
      <c r="L11" s="604">
        <f t="shared" si="5"/>
        <v>0.23571199761379424</v>
      </c>
      <c r="M11" s="226"/>
      <c r="N11" s="95" t="s">
        <v>16</v>
      </c>
      <c r="O11" s="308" t="s">
        <v>172</v>
      </c>
      <c r="P11" s="309">
        <f>'BILANS 2022'!$K12</f>
        <v>0</v>
      </c>
      <c r="Q11" s="309">
        <f>'BILANS 2023'!$K12</f>
        <v>0</v>
      </c>
      <c r="R11" s="309">
        <f t="shared" si="6"/>
        <v>0</v>
      </c>
      <c r="S11" s="623" t="e">
        <f t="shared" si="7"/>
        <v>#DIV/0!</v>
      </c>
      <c r="T11" s="309">
        <f>'BILANS 2024'!$K12</f>
        <v>0</v>
      </c>
      <c r="U11" s="158">
        <f t="shared" si="8"/>
        <v>0</v>
      </c>
      <c r="V11" s="641" t="e">
        <f t="shared" si="9"/>
        <v>#DIV/0!</v>
      </c>
      <c r="W11" s="310">
        <f>'BILANS 2025'!$K12</f>
        <v>0</v>
      </c>
      <c r="X11" s="158">
        <f t="shared" si="10"/>
        <v>0</v>
      </c>
      <c r="Y11" s="652" t="e">
        <f t="shared" si="11"/>
        <v>#DIV/0!</v>
      </c>
    </row>
    <row r="12" spans="1:27" ht="15.75" thickBot="1">
      <c r="A12" s="14">
        <v>4</v>
      </c>
      <c r="B12" s="40" t="s">
        <v>15</v>
      </c>
      <c r="C12" s="15">
        <f>'BILANS 2022'!$D13</f>
        <v>0</v>
      </c>
      <c r="D12" s="84">
        <f>'BILANS 2023'!D13</f>
        <v>0</v>
      </c>
      <c r="E12" s="84">
        <f t="shared" si="0"/>
        <v>0</v>
      </c>
      <c r="F12" s="605" t="e">
        <f t="shared" si="1"/>
        <v>#DIV/0!</v>
      </c>
      <c r="G12" s="84">
        <f>'BILANS 2024'!D13</f>
        <v>0</v>
      </c>
      <c r="H12" s="84">
        <f t="shared" si="2"/>
        <v>0</v>
      </c>
      <c r="I12" s="605" t="e">
        <f t="shared" si="3"/>
        <v>#DIV/0!</v>
      </c>
      <c r="J12" s="84">
        <f>'BILANS 2025'!D13</f>
        <v>0</v>
      </c>
      <c r="K12" s="84">
        <f t="shared" si="4"/>
        <v>0</v>
      </c>
      <c r="L12" s="605" t="e">
        <f t="shared" si="5"/>
        <v>#DIV/0!</v>
      </c>
      <c r="M12" s="226"/>
      <c r="N12" s="96"/>
      <c r="O12" s="311" t="s">
        <v>18</v>
      </c>
      <c r="P12" s="312">
        <f>'BILANS 2022'!$K13</f>
        <v>0</v>
      </c>
      <c r="Q12" s="312">
        <f>'BILANS 2023'!$K13</f>
        <v>0</v>
      </c>
      <c r="R12" s="312">
        <f t="shared" si="6"/>
        <v>0</v>
      </c>
      <c r="S12" s="624" t="e">
        <f t="shared" si="7"/>
        <v>#DIV/0!</v>
      </c>
      <c r="T12" s="312">
        <f>'BILANS 2024'!$K13</f>
        <v>0</v>
      </c>
      <c r="U12" s="118">
        <f t="shared" si="8"/>
        <v>0</v>
      </c>
      <c r="V12" s="642" t="e">
        <f t="shared" si="9"/>
        <v>#DIV/0!</v>
      </c>
      <c r="W12" s="313">
        <f>'BILANS 2025'!$K13</f>
        <v>0</v>
      </c>
      <c r="X12" s="118">
        <f t="shared" si="10"/>
        <v>0</v>
      </c>
      <c r="Y12" s="653" t="e">
        <f t="shared" si="11"/>
        <v>#DIV/0!</v>
      </c>
    </row>
    <row r="13" spans="1:27">
      <c r="A13" s="18" t="s">
        <v>11</v>
      </c>
      <c r="B13" s="184" t="s">
        <v>17</v>
      </c>
      <c r="C13" s="9">
        <f>'BILANS 2022'!$D14</f>
        <v>28564442.370000001</v>
      </c>
      <c r="D13" s="82">
        <f>'BILANS 2023'!D14</f>
        <v>35344581.519999996</v>
      </c>
      <c r="E13" s="82">
        <f t="shared" si="0"/>
        <v>6780139.1499999948</v>
      </c>
      <c r="F13" s="603">
        <f t="shared" si="1"/>
        <v>0.23736290952841713</v>
      </c>
      <c r="G13" s="82">
        <f>'BILANS 2024'!D14</f>
        <v>35528681.519999996</v>
      </c>
      <c r="H13" s="82">
        <f t="shared" si="2"/>
        <v>184100</v>
      </c>
      <c r="I13" s="603">
        <f t="shared" si="3"/>
        <v>5.2087191892716466E-3</v>
      </c>
      <c r="J13" s="82">
        <f>'BILANS 2025'!D14</f>
        <v>35660681.519999996</v>
      </c>
      <c r="K13" s="82">
        <f t="shared" si="4"/>
        <v>132000</v>
      </c>
      <c r="L13" s="603">
        <f t="shared" si="5"/>
        <v>3.7153081497182452E-3</v>
      </c>
      <c r="M13" s="226"/>
      <c r="N13" s="95" t="s">
        <v>20</v>
      </c>
      <c r="O13" s="308" t="s">
        <v>173</v>
      </c>
      <c r="P13" s="314">
        <f>'BILANS 2022'!$K14</f>
        <v>0</v>
      </c>
      <c r="Q13" s="314">
        <f>'BILANS 2023'!$K14</f>
        <v>0</v>
      </c>
      <c r="R13" s="314">
        <f t="shared" si="6"/>
        <v>0</v>
      </c>
      <c r="S13" s="625" t="e">
        <f t="shared" si="7"/>
        <v>#DIV/0!</v>
      </c>
      <c r="T13" s="314">
        <f>'BILANS 2024'!$K14</f>
        <v>0</v>
      </c>
      <c r="U13" s="117">
        <f t="shared" si="8"/>
        <v>0</v>
      </c>
      <c r="V13" s="643" t="e">
        <f t="shared" si="9"/>
        <v>#DIV/0!</v>
      </c>
      <c r="W13" s="315">
        <f>'BILANS 2025'!$K14</f>
        <v>0</v>
      </c>
      <c r="X13" s="117">
        <f t="shared" si="10"/>
        <v>0</v>
      </c>
      <c r="Y13" s="654" t="e">
        <f t="shared" si="11"/>
        <v>#DIV/0!</v>
      </c>
    </row>
    <row r="14" spans="1:27">
      <c r="A14" s="21">
        <v>1</v>
      </c>
      <c r="B14" s="185" t="s">
        <v>19</v>
      </c>
      <c r="C14" s="22">
        <f>'BILANS 2022'!$D15</f>
        <v>28544211.330000002</v>
      </c>
      <c r="D14" s="85">
        <f>'BILANS 2023'!D15</f>
        <v>35324381.519999996</v>
      </c>
      <c r="E14" s="85">
        <f t="shared" si="0"/>
        <v>6780170.1899999939</v>
      </c>
      <c r="F14" s="606">
        <f t="shared" si="1"/>
        <v>0.23753223067242452</v>
      </c>
      <c r="G14" s="85">
        <f>'BILANS 2024'!D15</f>
        <v>35528681.519999996</v>
      </c>
      <c r="H14" s="85">
        <f t="shared" si="2"/>
        <v>204300</v>
      </c>
      <c r="I14" s="606">
        <f t="shared" si="3"/>
        <v>5.7835407502981814E-3</v>
      </c>
      <c r="J14" s="85">
        <f>'BILANS 2025'!D15</f>
        <v>35660681.519999996</v>
      </c>
      <c r="K14" s="85">
        <f t="shared" si="4"/>
        <v>132000</v>
      </c>
      <c r="L14" s="606">
        <f t="shared" si="5"/>
        <v>3.7153081497182452E-3</v>
      </c>
      <c r="M14" s="226"/>
      <c r="N14" s="96"/>
      <c r="O14" s="311" t="s">
        <v>23</v>
      </c>
      <c r="P14" s="312">
        <f>'BILANS 2022'!$K15</f>
        <v>0</v>
      </c>
      <c r="Q14" s="312">
        <f>'BILANS 2023'!$K15</f>
        <v>0</v>
      </c>
      <c r="R14" s="312">
        <f t="shared" si="6"/>
        <v>0</v>
      </c>
      <c r="S14" s="624" t="e">
        <f t="shared" si="7"/>
        <v>#DIV/0!</v>
      </c>
      <c r="T14" s="312">
        <f>'BILANS 2024'!$K15</f>
        <v>0</v>
      </c>
      <c r="U14" s="118">
        <f t="shared" si="8"/>
        <v>0</v>
      </c>
      <c r="V14" s="642" t="e">
        <f t="shared" si="9"/>
        <v>#DIV/0!</v>
      </c>
      <c r="W14" s="313">
        <f>'BILANS 2025'!$K15</f>
        <v>0</v>
      </c>
      <c r="X14" s="118">
        <f t="shared" si="10"/>
        <v>0</v>
      </c>
      <c r="Y14" s="653" t="e">
        <f t="shared" si="11"/>
        <v>#DIV/0!</v>
      </c>
    </row>
    <row r="15" spans="1:27" ht="30.75" thickBot="1">
      <c r="A15" s="12" t="s">
        <v>21</v>
      </c>
      <c r="B15" s="30" t="s">
        <v>22</v>
      </c>
      <c r="C15" s="13">
        <f>'BILANS 2022'!$D16</f>
        <v>7662681.5199999996</v>
      </c>
      <c r="D15" s="83">
        <f>'BILANS 2023'!D16</f>
        <v>7662681.5199999996</v>
      </c>
      <c r="E15" s="83">
        <f t="shared" si="0"/>
        <v>0</v>
      </c>
      <c r="F15" s="604">
        <f t="shared" si="1"/>
        <v>0</v>
      </c>
      <c r="G15" s="83">
        <f>'BILANS 2024'!D16</f>
        <v>7662681.5199999996</v>
      </c>
      <c r="H15" s="83">
        <f t="shared" si="2"/>
        <v>0</v>
      </c>
      <c r="I15" s="604">
        <f t="shared" si="3"/>
        <v>0</v>
      </c>
      <c r="J15" s="83">
        <f>'BILANS 2025'!D16</f>
        <v>7662681.5199999996</v>
      </c>
      <c r="K15" s="83">
        <f t="shared" si="4"/>
        <v>0</v>
      </c>
      <c r="L15" s="604">
        <f t="shared" si="5"/>
        <v>0</v>
      </c>
      <c r="M15" s="226"/>
      <c r="N15" s="96"/>
      <c r="O15" s="311" t="s">
        <v>26</v>
      </c>
      <c r="P15" s="312">
        <f>'BILANS 2022'!$K16</f>
        <v>0</v>
      </c>
      <c r="Q15" s="312">
        <f>'BILANS 2023'!$K16</f>
        <v>0</v>
      </c>
      <c r="R15" s="312">
        <f t="shared" si="6"/>
        <v>0</v>
      </c>
      <c r="S15" s="624" t="e">
        <f t="shared" si="7"/>
        <v>#DIV/0!</v>
      </c>
      <c r="T15" s="312">
        <f>'BILANS 2024'!$K16</f>
        <v>0</v>
      </c>
      <c r="U15" s="118">
        <f t="shared" si="8"/>
        <v>0</v>
      </c>
      <c r="V15" s="642" t="e">
        <f t="shared" si="9"/>
        <v>#DIV/0!</v>
      </c>
      <c r="W15" s="313">
        <f>'BILANS 2025'!$K16</f>
        <v>0</v>
      </c>
      <c r="X15" s="118">
        <f t="shared" si="10"/>
        <v>0</v>
      </c>
      <c r="Y15" s="653" t="e">
        <f t="shared" si="11"/>
        <v>#DIV/0!</v>
      </c>
    </row>
    <row r="16" spans="1:27" ht="15.75" thickBot="1">
      <c r="A16" s="12" t="s">
        <v>24</v>
      </c>
      <c r="B16" s="30" t="s">
        <v>25</v>
      </c>
      <c r="C16" s="13">
        <f>'BILANS 2022'!$D17</f>
        <v>8602972.5999999996</v>
      </c>
      <c r="D16" s="83">
        <f>'BILANS 2023'!D17</f>
        <v>13041700</v>
      </c>
      <c r="E16" s="83">
        <f t="shared" si="0"/>
        <v>4438727.4000000004</v>
      </c>
      <c r="F16" s="604">
        <f t="shared" si="1"/>
        <v>0.51595275335411395</v>
      </c>
      <c r="G16" s="83">
        <f>'BILANS 2024'!D17</f>
        <v>12716000</v>
      </c>
      <c r="H16" s="83">
        <f t="shared" si="2"/>
        <v>-325700</v>
      </c>
      <c r="I16" s="604">
        <f t="shared" si="3"/>
        <v>-2.497373808629243E-2</v>
      </c>
      <c r="J16" s="83">
        <f>'BILANS 2025'!D17</f>
        <v>12298000</v>
      </c>
      <c r="K16" s="83">
        <f t="shared" si="4"/>
        <v>-418000</v>
      </c>
      <c r="L16" s="604">
        <f t="shared" si="5"/>
        <v>-3.2871972318339097E-2</v>
      </c>
      <c r="M16" s="226"/>
      <c r="N16" s="94" t="s">
        <v>29</v>
      </c>
      <c r="O16" s="303" t="s">
        <v>30</v>
      </c>
      <c r="P16" s="316">
        <f>'BILANS 2022'!$K17</f>
        <v>-19285314.510000002</v>
      </c>
      <c r="Q16" s="316">
        <f>'BILANS 2023'!$K17</f>
        <v>-12779142.380000001</v>
      </c>
      <c r="R16" s="316">
        <f t="shared" si="6"/>
        <v>6506172.1300000008</v>
      </c>
      <c r="S16" s="626">
        <f t="shared" si="7"/>
        <v>-0.3373640666646302</v>
      </c>
      <c r="T16" s="316">
        <f>'BILANS 2024'!$K17</f>
        <v>-7115142.3799999999</v>
      </c>
      <c r="U16" s="597">
        <f t="shared" si="8"/>
        <v>5664000.0000000009</v>
      </c>
      <c r="V16" s="644">
        <f t="shared" si="9"/>
        <v>-0.44322223131846822</v>
      </c>
      <c r="W16" s="317">
        <f>'BILANS 2025'!$K17</f>
        <v>-1051142.3799999999</v>
      </c>
      <c r="X16" s="597">
        <f t="shared" si="10"/>
        <v>6064000</v>
      </c>
      <c r="Y16" s="655">
        <f t="shared" si="11"/>
        <v>-0.85226685231842125</v>
      </c>
      <c r="Z16" s="351"/>
      <c r="AA16" s="351"/>
    </row>
    <row r="17" spans="1:27" ht="15.75" thickBot="1">
      <c r="A17" s="12" t="s">
        <v>27</v>
      </c>
      <c r="B17" s="30" t="s">
        <v>28</v>
      </c>
      <c r="C17" s="13">
        <f>'BILANS 2022'!$D18</f>
        <v>426865.96</v>
      </c>
      <c r="D17" s="83">
        <f>'BILANS 2023'!D18</f>
        <v>600000</v>
      </c>
      <c r="E17" s="83">
        <f t="shared" si="0"/>
        <v>173134.03999999998</v>
      </c>
      <c r="F17" s="604">
        <f t="shared" si="1"/>
        <v>0.40559345608162328</v>
      </c>
      <c r="G17" s="83">
        <f>'BILANS 2024'!D18</f>
        <v>650000</v>
      </c>
      <c r="H17" s="83">
        <f t="shared" si="2"/>
        <v>50000</v>
      </c>
      <c r="I17" s="604">
        <f t="shared" si="3"/>
        <v>8.3333333333333329E-2</v>
      </c>
      <c r="J17" s="83">
        <f>'BILANS 2025'!D18</f>
        <v>700000</v>
      </c>
      <c r="K17" s="83">
        <f t="shared" si="4"/>
        <v>50000</v>
      </c>
      <c r="L17" s="604">
        <f t="shared" si="5"/>
        <v>7.6923076923076927E-2</v>
      </c>
      <c r="M17" s="226"/>
      <c r="N17" s="94" t="s">
        <v>33</v>
      </c>
      <c r="O17" s="303" t="s">
        <v>34</v>
      </c>
      <c r="P17" s="318">
        <f>'BILANS 2022'!$K18</f>
        <v>6506172.1299999999</v>
      </c>
      <c r="Q17" s="318">
        <f>'BILANS 2023'!$K18</f>
        <v>5664000</v>
      </c>
      <c r="R17" s="318">
        <f t="shared" si="6"/>
        <v>-842172.12999999989</v>
      </c>
      <c r="S17" s="627">
        <f t="shared" si="7"/>
        <v>-0.12944203030177129</v>
      </c>
      <c r="T17" s="318">
        <f>'BILANS 2024'!$K18</f>
        <v>6064000</v>
      </c>
      <c r="U17" s="598">
        <f t="shared" si="8"/>
        <v>400000</v>
      </c>
      <c r="V17" s="645">
        <f t="shared" si="9"/>
        <v>7.0621468926553674E-2</v>
      </c>
      <c r="W17" s="319">
        <f>'BILANS 2025'!$K18</f>
        <v>6315000</v>
      </c>
      <c r="X17" s="598">
        <f t="shared" si="10"/>
        <v>251000</v>
      </c>
      <c r="Y17" s="656">
        <f t="shared" si="11"/>
        <v>4.1391820580474935E-2</v>
      </c>
      <c r="Z17" s="351"/>
      <c r="AA17" s="351"/>
    </row>
    <row r="18" spans="1:27" ht="30.75" thickBot="1">
      <c r="A18" s="12" t="s">
        <v>31</v>
      </c>
      <c r="B18" s="30" t="s">
        <v>32</v>
      </c>
      <c r="C18" s="13">
        <f>'BILANS 2022'!$D19</f>
        <v>7476298.9800000004</v>
      </c>
      <c r="D18" s="83">
        <f>'BILANS 2023'!D19</f>
        <v>8820000</v>
      </c>
      <c r="E18" s="83">
        <f t="shared" si="0"/>
        <v>1343701.0199999996</v>
      </c>
      <c r="F18" s="604">
        <f t="shared" si="1"/>
        <v>0.17972810124294941</v>
      </c>
      <c r="G18" s="83">
        <f>'BILANS 2024'!D19</f>
        <v>9000000</v>
      </c>
      <c r="H18" s="83">
        <f t="shared" si="2"/>
        <v>180000</v>
      </c>
      <c r="I18" s="604">
        <f t="shared" si="3"/>
        <v>2.0408163265306121E-2</v>
      </c>
      <c r="J18" s="83">
        <f>'BILANS 2025'!D19</f>
        <v>9000000</v>
      </c>
      <c r="K18" s="83">
        <f t="shared" si="4"/>
        <v>0</v>
      </c>
      <c r="L18" s="604">
        <f t="shared" si="5"/>
        <v>0</v>
      </c>
      <c r="M18" s="226"/>
      <c r="N18" s="218" t="s">
        <v>37</v>
      </c>
      <c r="O18" s="320" t="s">
        <v>38</v>
      </c>
      <c r="P18" s="321">
        <f>'BILANS 2022'!$K19</f>
        <v>0</v>
      </c>
      <c r="Q18" s="321">
        <f>'BILANS 2023'!$K19</f>
        <v>0</v>
      </c>
      <c r="R18" s="321">
        <f t="shared" si="6"/>
        <v>0</v>
      </c>
      <c r="S18" s="628" t="e">
        <f t="shared" si="7"/>
        <v>#DIV/0!</v>
      </c>
      <c r="T18" s="321">
        <f>'BILANS 2024'!$K19</f>
        <v>0</v>
      </c>
      <c r="U18" s="599">
        <f t="shared" si="8"/>
        <v>0</v>
      </c>
      <c r="V18" s="646" t="e">
        <f t="shared" si="9"/>
        <v>#DIV/0!</v>
      </c>
      <c r="W18" s="211">
        <f>'BILANS 2025'!$K19</f>
        <v>0</v>
      </c>
      <c r="X18" s="599">
        <f t="shared" si="10"/>
        <v>0</v>
      </c>
      <c r="Y18" s="657" t="e">
        <f t="shared" si="11"/>
        <v>#DIV/0!</v>
      </c>
      <c r="Z18" s="677"/>
      <c r="AA18" s="677"/>
    </row>
    <row r="19" spans="1:27" ht="15.75" thickBot="1">
      <c r="A19" s="12" t="s">
        <v>35</v>
      </c>
      <c r="B19" s="30" t="s">
        <v>36</v>
      </c>
      <c r="C19" s="13">
        <f>'BILANS 2022'!$D20</f>
        <v>4375392.2699999996</v>
      </c>
      <c r="D19" s="83">
        <f>'BILANS 2023'!D20</f>
        <v>5200000</v>
      </c>
      <c r="E19" s="83">
        <f t="shared" si="0"/>
        <v>824607.73000000045</v>
      </c>
      <c r="F19" s="604">
        <f t="shared" si="1"/>
        <v>0.18846486877392607</v>
      </c>
      <c r="G19" s="83">
        <f>'BILANS 2024'!D20</f>
        <v>5500000</v>
      </c>
      <c r="H19" s="83">
        <f t="shared" si="2"/>
        <v>300000</v>
      </c>
      <c r="I19" s="604">
        <f t="shared" si="3"/>
        <v>5.7692307692307696E-2</v>
      </c>
      <c r="J19" s="83">
        <f>'BILANS 2025'!D20</f>
        <v>6000000</v>
      </c>
      <c r="K19" s="83">
        <f t="shared" si="4"/>
        <v>500000</v>
      </c>
      <c r="L19" s="604">
        <f t="shared" si="5"/>
        <v>9.0909090909090912E-2</v>
      </c>
      <c r="M19" s="226"/>
      <c r="N19" s="93" t="s">
        <v>41</v>
      </c>
      <c r="O19" s="322" t="s">
        <v>42</v>
      </c>
      <c r="P19" s="323">
        <f>'BILANS 2022'!$K20</f>
        <v>58168249.699999996</v>
      </c>
      <c r="Q19" s="323">
        <f>'BILANS 2023'!$K20</f>
        <v>59898928.829999998</v>
      </c>
      <c r="R19" s="323">
        <f t="shared" si="6"/>
        <v>1730679.1300000027</v>
      </c>
      <c r="S19" s="620">
        <f t="shared" si="7"/>
        <v>2.9752986189646391E-2</v>
      </c>
      <c r="T19" s="323">
        <f>'BILANS 2024'!$K20</f>
        <v>59118522</v>
      </c>
      <c r="U19" s="119">
        <f t="shared" si="8"/>
        <v>-780406.82999999821</v>
      </c>
      <c r="V19" s="647">
        <f t="shared" si="9"/>
        <v>-1.3028727645779475E-2</v>
      </c>
      <c r="W19" s="268">
        <f>'BILANS 2025'!$K20</f>
        <v>56708747</v>
      </c>
      <c r="X19" s="119">
        <f t="shared" si="10"/>
        <v>-2409775</v>
      </c>
      <c r="Y19" s="649">
        <f t="shared" si="11"/>
        <v>-4.0761759910032933E-2</v>
      </c>
    </row>
    <row r="20" spans="1:27">
      <c r="A20" s="21">
        <v>2</v>
      </c>
      <c r="B20" s="186" t="s">
        <v>39</v>
      </c>
      <c r="C20" s="22">
        <f>'BILANS 2022'!$D21</f>
        <v>20231.04</v>
      </c>
      <c r="D20" s="85">
        <f>'BILANS 2023'!D21</f>
        <v>20200</v>
      </c>
      <c r="E20" s="85">
        <f t="shared" si="0"/>
        <v>-31.040000000000873</v>
      </c>
      <c r="F20" s="606">
        <f t="shared" si="1"/>
        <v>-1.5342760431495796E-3</v>
      </c>
      <c r="G20" s="85">
        <f>'BILANS 2024'!D21</f>
        <v>0</v>
      </c>
      <c r="H20" s="85">
        <f t="shared" si="2"/>
        <v>-20200</v>
      </c>
      <c r="I20" s="606">
        <f t="shared" si="3"/>
        <v>-1</v>
      </c>
      <c r="J20" s="85">
        <f>'BILANS 2025'!D21</f>
        <v>0</v>
      </c>
      <c r="K20" s="85">
        <f t="shared" si="4"/>
        <v>0</v>
      </c>
      <c r="L20" s="606" t="e">
        <f t="shared" si="5"/>
        <v>#DIV/0!</v>
      </c>
      <c r="M20" s="226"/>
      <c r="N20" s="97" t="s">
        <v>8</v>
      </c>
      <c r="O20" s="324" t="s">
        <v>44</v>
      </c>
      <c r="P20" s="325">
        <f>'BILANS 2022'!$K21</f>
        <v>17244499.989999998</v>
      </c>
      <c r="Q20" s="325">
        <f>'BILANS 2023'!$K21</f>
        <v>15950000</v>
      </c>
      <c r="R20" s="325">
        <f t="shared" si="6"/>
        <v>-1294499.9899999984</v>
      </c>
      <c r="S20" s="629">
        <f t="shared" si="7"/>
        <v>-7.5067412261919597E-2</v>
      </c>
      <c r="T20" s="325">
        <f>'BILANS 2024'!$K21</f>
        <v>16800000</v>
      </c>
      <c r="U20" s="82">
        <f t="shared" si="8"/>
        <v>850000</v>
      </c>
      <c r="V20" s="603">
        <f t="shared" si="9"/>
        <v>5.329153605015674E-2</v>
      </c>
      <c r="W20" s="293">
        <f>'BILANS 2025'!$K21</f>
        <v>16450000</v>
      </c>
      <c r="X20" s="82">
        <f t="shared" si="10"/>
        <v>-350000</v>
      </c>
      <c r="Y20" s="658">
        <f t="shared" si="11"/>
        <v>-2.0833333333333332E-2</v>
      </c>
      <c r="Z20" s="350"/>
    </row>
    <row r="21" spans="1:27" ht="15.75" customHeight="1" thickBot="1">
      <c r="A21" s="24">
        <v>3</v>
      </c>
      <c r="B21" s="187" t="s">
        <v>40</v>
      </c>
      <c r="C21" s="25">
        <f>'BILANS 2022'!$D22</f>
        <v>0</v>
      </c>
      <c r="D21" s="86">
        <f>'BILANS 2023'!D22</f>
        <v>0</v>
      </c>
      <c r="E21" s="86">
        <f t="shared" si="0"/>
        <v>0</v>
      </c>
      <c r="F21" s="607" t="e">
        <f t="shared" si="1"/>
        <v>#DIV/0!</v>
      </c>
      <c r="G21" s="86">
        <f>'BILANS 2024'!D22</f>
        <v>0</v>
      </c>
      <c r="H21" s="86">
        <f t="shared" si="2"/>
        <v>0</v>
      </c>
      <c r="I21" s="607" t="e">
        <f t="shared" si="3"/>
        <v>#DIV/0!</v>
      </c>
      <c r="J21" s="86">
        <f>'BILANS 2025'!D22</f>
        <v>0</v>
      </c>
      <c r="K21" s="86">
        <f t="shared" si="4"/>
        <v>0</v>
      </c>
      <c r="L21" s="607" t="e">
        <f t="shared" si="5"/>
        <v>#DIV/0!</v>
      </c>
      <c r="M21" s="226"/>
      <c r="N21" s="70">
        <v>1</v>
      </c>
      <c r="O21" s="326" t="s">
        <v>46</v>
      </c>
      <c r="P21" s="327">
        <f>'BILANS 2022'!$K22</f>
        <v>0</v>
      </c>
      <c r="Q21" s="327">
        <f>'BILANS 2023'!$K22</f>
        <v>0</v>
      </c>
      <c r="R21" s="327">
        <f t="shared" si="6"/>
        <v>0</v>
      </c>
      <c r="S21" s="630" t="e">
        <f t="shared" si="7"/>
        <v>#DIV/0!</v>
      </c>
      <c r="T21" s="327">
        <f>'BILANS 2024'!$K22</f>
        <v>0</v>
      </c>
      <c r="U21" s="83">
        <f t="shared" si="8"/>
        <v>0</v>
      </c>
      <c r="V21" s="604" t="e">
        <f t="shared" si="9"/>
        <v>#DIV/0!</v>
      </c>
      <c r="W21" s="173">
        <f>'BILANS 2025'!$K22</f>
        <v>0</v>
      </c>
      <c r="X21" s="83">
        <f t="shared" si="10"/>
        <v>0</v>
      </c>
      <c r="Y21" s="659" t="e">
        <f t="shared" si="11"/>
        <v>#DIV/0!</v>
      </c>
    </row>
    <row r="22" spans="1:27">
      <c r="A22" s="8" t="s">
        <v>16</v>
      </c>
      <c r="B22" s="28" t="s">
        <v>43</v>
      </c>
      <c r="C22" s="9">
        <f>'BILANS 2022'!$D23</f>
        <v>0</v>
      </c>
      <c r="D22" s="82">
        <f>'BILANS 2023'!D23</f>
        <v>0</v>
      </c>
      <c r="E22" s="82">
        <f t="shared" si="0"/>
        <v>0</v>
      </c>
      <c r="F22" s="603" t="e">
        <f t="shared" si="1"/>
        <v>#DIV/0!</v>
      </c>
      <c r="G22" s="82">
        <f>'BILANS 2024'!D23</f>
        <v>0</v>
      </c>
      <c r="H22" s="82">
        <f t="shared" si="2"/>
        <v>0</v>
      </c>
      <c r="I22" s="603" t="e">
        <f t="shared" si="3"/>
        <v>#DIV/0!</v>
      </c>
      <c r="J22" s="82">
        <f>'BILANS 2025'!D23</f>
        <v>0</v>
      </c>
      <c r="K22" s="82">
        <f t="shared" si="4"/>
        <v>0</v>
      </c>
      <c r="L22" s="603" t="e">
        <f t="shared" si="5"/>
        <v>#DIV/0!</v>
      </c>
      <c r="M22" s="226"/>
      <c r="N22" s="70">
        <v>2</v>
      </c>
      <c r="O22" s="326" t="s">
        <v>48</v>
      </c>
      <c r="P22" s="327">
        <f>'BILANS 2022'!$K23</f>
        <v>11989673.989999998</v>
      </c>
      <c r="Q22" s="327">
        <f>'BILANS 2023'!$K23</f>
        <v>12650000</v>
      </c>
      <c r="R22" s="327">
        <f t="shared" si="6"/>
        <v>660326.01000000164</v>
      </c>
      <c r="S22" s="630">
        <f t="shared" si="7"/>
        <v>5.5074559204090733E-2</v>
      </c>
      <c r="T22" s="327">
        <f>'BILANS 2024'!$K23</f>
        <v>13800000</v>
      </c>
      <c r="U22" s="83">
        <f t="shared" si="8"/>
        <v>1150000</v>
      </c>
      <c r="V22" s="604">
        <f t="shared" si="9"/>
        <v>9.0909090909090912E-2</v>
      </c>
      <c r="W22" s="173">
        <f>'BILANS 2025'!$K23</f>
        <v>14450000</v>
      </c>
      <c r="X22" s="83">
        <f t="shared" si="10"/>
        <v>650000</v>
      </c>
      <c r="Y22" s="659">
        <f t="shared" si="11"/>
        <v>4.710144927536232E-2</v>
      </c>
    </row>
    <row r="23" spans="1:27">
      <c r="A23" s="12">
        <v>1</v>
      </c>
      <c r="B23" s="188" t="s">
        <v>45</v>
      </c>
      <c r="C23" s="13">
        <f>'BILANS 2022'!$D24</f>
        <v>0</v>
      </c>
      <c r="D23" s="83">
        <f>'BILANS 2023'!D24</f>
        <v>0</v>
      </c>
      <c r="E23" s="83">
        <f t="shared" si="0"/>
        <v>0</v>
      </c>
      <c r="F23" s="604" t="e">
        <f t="shared" si="1"/>
        <v>#DIV/0!</v>
      </c>
      <c r="G23" s="83">
        <f>'BILANS 2024'!D24</f>
        <v>0</v>
      </c>
      <c r="H23" s="83">
        <f t="shared" si="2"/>
        <v>0</v>
      </c>
      <c r="I23" s="604" t="e">
        <f t="shared" si="3"/>
        <v>#DIV/0!</v>
      </c>
      <c r="J23" s="83">
        <f>'BILANS 2025'!D24</f>
        <v>0</v>
      </c>
      <c r="K23" s="83">
        <f t="shared" si="4"/>
        <v>0</v>
      </c>
      <c r="L23" s="604" t="e">
        <f t="shared" si="5"/>
        <v>#DIV/0!</v>
      </c>
      <c r="M23" s="226"/>
      <c r="N23" s="70"/>
      <c r="O23" s="326" t="s">
        <v>49</v>
      </c>
      <c r="P23" s="327">
        <f>'BILANS 2022'!$K24</f>
        <v>10434928.369999999</v>
      </c>
      <c r="Q23" s="327">
        <f>'BILANS 2023'!$K24</f>
        <v>11000000</v>
      </c>
      <c r="R23" s="327">
        <f t="shared" si="6"/>
        <v>565071.63000000082</v>
      </c>
      <c r="S23" s="631">
        <f t="shared" si="7"/>
        <v>5.4151941437811796E-2</v>
      </c>
      <c r="T23" s="327">
        <f>'BILANS 2024'!$K24</f>
        <v>12000000</v>
      </c>
      <c r="U23" s="83">
        <f t="shared" si="8"/>
        <v>1000000</v>
      </c>
      <c r="V23" s="614">
        <f t="shared" si="9"/>
        <v>9.0909090909090912E-2</v>
      </c>
      <c r="W23" s="173">
        <f>'BILANS 2025'!$K24</f>
        <v>12500000</v>
      </c>
      <c r="X23" s="83">
        <f t="shared" si="10"/>
        <v>500000</v>
      </c>
      <c r="Y23" s="660">
        <f t="shared" si="11"/>
        <v>4.1666666666666664E-2</v>
      </c>
    </row>
    <row r="24" spans="1:27" ht="30">
      <c r="A24" s="151">
        <v>2</v>
      </c>
      <c r="B24" s="328" t="s">
        <v>47</v>
      </c>
      <c r="C24" s="208">
        <f>'BILANS 2022'!$D25</f>
        <v>0</v>
      </c>
      <c r="D24" s="228">
        <f>'BILANS 2023'!D25</f>
        <v>0</v>
      </c>
      <c r="E24" s="228">
        <f t="shared" si="0"/>
        <v>0</v>
      </c>
      <c r="F24" s="608" t="e">
        <f t="shared" si="1"/>
        <v>#DIV/0!</v>
      </c>
      <c r="G24" s="228">
        <f>'BILANS 2024'!D25</f>
        <v>0</v>
      </c>
      <c r="H24" s="228">
        <f t="shared" si="2"/>
        <v>0</v>
      </c>
      <c r="I24" s="608" t="e">
        <f t="shared" si="3"/>
        <v>#DIV/0!</v>
      </c>
      <c r="J24" s="228">
        <f>'BILANS 2025'!D25</f>
        <v>0</v>
      </c>
      <c r="K24" s="228">
        <f t="shared" si="4"/>
        <v>0</v>
      </c>
      <c r="L24" s="608" t="e">
        <f t="shared" si="5"/>
        <v>#DIV/0!</v>
      </c>
      <c r="M24" s="226"/>
      <c r="N24" s="70"/>
      <c r="O24" s="326" t="s">
        <v>51</v>
      </c>
      <c r="P24" s="327">
        <f>'BILANS 2022'!$K25</f>
        <v>1554745.62</v>
      </c>
      <c r="Q24" s="327">
        <f>'BILANS 2023'!$K25</f>
        <v>1650000</v>
      </c>
      <c r="R24" s="327">
        <f t="shared" si="6"/>
        <v>95254.379999999888</v>
      </c>
      <c r="S24" s="631">
        <f t="shared" si="7"/>
        <v>6.1266858561723994E-2</v>
      </c>
      <c r="T24" s="327">
        <f>'BILANS 2024'!$K25</f>
        <v>1800000</v>
      </c>
      <c r="U24" s="83">
        <f t="shared" si="8"/>
        <v>150000</v>
      </c>
      <c r="V24" s="614">
        <f t="shared" si="9"/>
        <v>9.0909090909090912E-2</v>
      </c>
      <c r="W24" s="173">
        <f>'BILANS 2025'!$K25</f>
        <v>1950000</v>
      </c>
      <c r="X24" s="83">
        <f t="shared" si="10"/>
        <v>150000</v>
      </c>
      <c r="Y24" s="660">
        <f t="shared" si="11"/>
        <v>8.3333333333333329E-2</v>
      </c>
    </row>
    <row r="25" spans="1:27" ht="15.75" thickBot="1">
      <c r="A25" s="14">
        <v>3</v>
      </c>
      <c r="B25" s="189" t="s">
        <v>50</v>
      </c>
      <c r="C25" s="15">
        <f>'BILANS 2022'!$D26</f>
        <v>0</v>
      </c>
      <c r="D25" s="84">
        <f>'BILANS 2023'!D26</f>
        <v>0</v>
      </c>
      <c r="E25" s="84">
        <f t="shared" si="0"/>
        <v>0</v>
      </c>
      <c r="F25" s="605" t="e">
        <f t="shared" si="1"/>
        <v>#DIV/0!</v>
      </c>
      <c r="G25" s="84">
        <f>'BILANS 2024'!D26</f>
        <v>0</v>
      </c>
      <c r="H25" s="84">
        <f t="shared" si="2"/>
        <v>0</v>
      </c>
      <c r="I25" s="605" t="e">
        <f t="shared" si="3"/>
        <v>#DIV/0!</v>
      </c>
      <c r="J25" s="84">
        <f>'BILANS 2025'!D26</f>
        <v>0</v>
      </c>
      <c r="K25" s="84">
        <f t="shared" si="4"/>
        <v>0</v>
      </c>
      <c r="L25" s="605" t="e">
        <f t="shared" si="5"/>
        <v>#DIV/0!</v>
      </c>
      <c r="M25" s="226"/>
      <c r="N25" s="70">
        <v>3</v>
      </c>
      <c r="O25" s="326" t="s">
        <v>53</v>
      </c>
      <c r="P25" s="327">
        <f>'BILANS 2022'!$K26</f>
        <v>5254826</v>
      </c>
      <c r="Q25" s="327">
        <f>'BILANS 2023'!$K26</f>
        <v>3300000</v>
      </c>
      <c r="R25" s="327">
        <f t="shared" si="6"/>
        <v>-1954826</v>
      </c>
      <c r="S25" s="631">
        <f t="shared" si="7"/>
        <v>-0.37200584757706534</v>
      </c>
      <c r="T25" s="327">
        <f>'BILANS 2024'!$K26</f>
        <v>3000000</v>
      </c>
      <c r="U25" s="83">
        <f t="shared" si="8"/>
        <v>-300000</v>
      </c>
      <c r="V25" s="614">
        <f t="shared" si="9"/>
        <v>-9.0909090909090912E-2</v>
      </c>
      <c r="W25" s="173">
        <f>'BILANS 2025'!$K26</f>
        <v>2000000</v>
      </c>
      <c r="X25" s="83">
        <f t="shared" si="10"/>
        <v>-1000000</v>
      </c>
      <c r="Y25" s="660">
        <f t="shared" si="11"/>
        <v>-0.33333333333333331</v>
      </c>
    </row>
    <row r="26" spans="1:27">
      <c r="A26" s="18" t="s">
        <v>20</v>
      </c>
      <c r="B26" s="184" t="s">
        <v>52</v>
      </c>
      <c r="C26" s="9">
        <f>'BILANS 2022'!$D27</f>
        <v>0</v>
      </c>
      <c r="D26" s="82">
        <f>'BILANS 2023'!D27</f>
        <v>0</v>
      </c>
      <c r="E26" s="82">
        <f t="shared" si="0"/>
        <v>0</v>
      </c>
      <c r="F26" s="603" t="e">
        <f t="shared" si="1"/>
        <v>#DIV/0!</v>
      </c>
      <c r="G26" s="82">
        <f>'BILANS 2024'!D27</f>
        <v>0</v>
      </c>
      <c r="H26" s="82">
        <f t="shared" si="2"/>
        <v>0</v>
      </c>
      <c r="I26" s="603" t="e">
        <f t="shared" si="3"/>
        <v>#DIV/0!</v>
      </c>
      <c r="J26" s="82">
        <f>'BILANS 2025'!D27</f>
        <v>0</v>
      </c>
      <c r="K26" s="82">
        <f t="shared" si="4"/>
        <v>0</v>
      </c>
      <c r="L26" s="603" t="e">
        <f t="shared" si="5"/>
        <v>#DIV/0!</v>
      </c>
      <c r="M26" s="226"/>
      <c r="N26" s="70"/>
      <c r="O26" s="326" t="s">
        <v>55</v>
      </c>
      <c r="P26" s="327">
        <f>'BILANS 2022'!$K27</f>
        <v>0</v>
      </c>
      <c r="Q26" s="327">
        <f>'BILANS 2023'!$K27</f>
        <v>0</v>
      </c>
      <c r="R26" s="327">
        <f t="shared" si="6"/>
        <v>0</v>
      </c>
      <c r="S26" s="631" t="e">
        <f t="shared" si="7"/>
        <v>#DIV/0!</v>
      </c>
      <c r="T26" s="327">
        <f>'BILANS 2024'!$K27</f>
        <v>0</v>
      </c>
      <c r="U26" s="83">
        <f t="shared" si="8"/>
        <v>0</v>
      </c>
      <c r="V26" s="614" t="e">
        <f t="shared" si="9"/>
        <v>#DIV/0!</v>
      </c>
      <c r="W26" s="173">
        <f>'BILANS 2025'!$K27</f>
        <v>0</v>
      </c>
      <c r="X26" s="83">
        <f t="shared" si="10"/>
        <v>0</v>
      </c>
      <c r="Y26" s="660" t="e">
        <f t="shared" si="11"/>
        <v>#DIV/0!</v>
      </c>
    </row>
    <row r="27" spans="1:27" ht="15.75" thickBot="1">
      <c r="A27" s="21">
        <v>1</v>
      </c>
      <c r="B27" s="185" t="s">
        <v>54</v>
      </c>
      <c r="C27" s="22">
        <f>'BILANS 2022'!$D28</f>
        <v>0</v>
      </c>
      <c r="D27" s="85">
        <f>'BILANS 2023'!D28</f>
        <v>0</v>
      </c>
      <c r="E27" s="85">
        <f t="shared" si="0"/>
        <v>0</v>
      </c>
      <c r="F27" s="606" t="e">
        <f t="shared" si="1"/>
        <v>#DIV/0!</v>
      </c>
      <c r="G27" s="85">
        <f>'BILANS 2024'!D28</f>
        <v>0</v>
      </c>
      <c r="H27" s="85">
        <f t="shared" si="2"/>
        <v>0</v>
      </c>
      <c r="I27" s="606" t="e">
        <f t="shared" si="3"/>
        <v>#DIV/0!</v>
      </c>
      <c r="J27" s="85">
        <f>'BILANS 2025'!D28</f>
        <v>0</v>
      </c>
      <c r="K27" s="85">
        <f t="shared" si="4"/>
        <v>0</v>
      </c>
      <c r="L27" s="606" t="e">
        <f t="shared" si="5"/>
        <v>#DIV/0!</v>
      </c>
      <c r="M27" s="226"/>
      <c r="N27" s="70"/>
      <c r="O27" s="326" t="s">
        <v>56</v>
      </c>
      <c r="P27" s="329">
        <f>'BILANS 2022'!$K28</f>
        <v>5254826</v>
      </c>
      <c r="Q27" s="329">
        <f>'BILANS 2023'!$K28</f>
        <v>3300000</v>
      </c>
      <c r="R27" s="329">
        <f t="shared" si="6"/>
        <v>-1954826</v>
      </c>
      <c r="S27" s="632">
        <f t="shared" si="7"/>
        <v>-0.37200584757706534</v>
      </c>
      <c r="T27" s="329">
        <f>'BILANS 2024'!$K28</f>
        <v>3000000</v>
      </c>
      <c r="U27" s="84">
        <f t="shared" si="8"/>
        <v>-300000</v>
      </c>
      <c r="V27" s="648">
        <f t="shared" si="9"/>
        <v>-9.0909090909090912E-2</v>
      </c>
      <c r="W27" s="330">
        <f>'BILANS 2025'!$K28</f>
        <v>2000000</v>
      </c>
      <c r="X27" s="84">
        <f t="shared" si="10"/>
        <v>-1000000</v>
      </c>
      <c r="Y27" s="661">
        <f t="shared" si="11"/>
        <v>-0.33333333333333331</v>
      </c>
    </row>
    <row r="28" spans="1:27">
      <c r="A28" s="21">
        <v>2</v>
      </c>
      <c r="B28" s="186" t="s">
        <v>206</v>
      </c>
      <c r="C28" s="22">
        <f>'BILANS 2022'!$D29</f>
        <v>0</v>
      </c>
      <c r="D28" s="85">
        <f>'BILANS 2023'!D29</f>
        <v>0</v>
      </c>
      <c r="E28" s="85">
        <f t="shared" si="0"/>
        <v>0</v>
      </c>
      <c r="F28" s="606" t="e">
        <f t="shared" si="1"/>
        <v>#DIV/0!</v>
      </c>
      <c r="G28" s="85">
        <f>'BILANS 2024'!D29</f>
        <v>0</v>
      </c>
      <c r="H28" s="85">
        <f t="shared" si="2"/>
        <v>0</v>
      </c>
      <c r="I28" s="606" t="e">
        <f t="shared" si="3"/>
        <v>#DIV/0!</v>
      </c>
      <c r="J28" s="85">
        <f>'BILANS 2025'!D29</f>
        <v>0</v>
      </c>
      <c r="K28" s="85">
        <f t="shared" si="4"/>
        <v>0</v>
      </c>
      <c r="L28" s="606" t="e">
        <f t="shared" si="5"/>
        <v>#DIV/0!</v>
      </c>
      <c r="M28" s="226"/>
      <c r="N28" s="97" t="s">
        <v>11</v>
      </c>
      <c r="O28" s="324" t="s">
        <v>58</v>
      </c>
      <c r="P28" s="325">
        <f>'BILANS 2022'!$K29</f>
        <v>408048.83</v>
      </c>
      <c r="Q28" s="325">
        <f>'BILANS 2023'!$K29</f>
        <v>1851460</v>
      </c>
      <c r="R28" s="325">
        <f t="shared" si="6"/>
        <v>1443411.17</v>
      </c>
      <c r="S28" s="629">
        <f t="shared" si="7"/>
        <v>3.5373491206922463</v>
      </c>
      <c r="T28" s="325">
        <f>'BILANS 2024'!$K29</f>
        <v>1537020</v>
      </c>
      <c r="U28" s="82">
        <f t="shared" si="8"/>
        <v>-314440</v>
      </c>
      <c r="V28" s="603">
        <f t="shared" si="9"/>
        <v>-0.16983353677638188</v>
      </c>
      <c r="W28" s="293">
        <f>'BILANS 2025'!$K29</f>
        <v>1183900</v>
      </c>
      <c r="X28" s="82">
        <f t="shared" si="10"/>
        <v>-353120</v>
      </c>
      <c r="Y28" s="658">
        <f t="shared" si="11"/>
        <v>-0.22974326944346854</v>
      </c>
    </row>
    <row r="29" spans="1:27">
      <c r="A29" s="21">
        <v>3</v>
      </c>
      <c r="B29" s="186" t="s">
        <v>57</v>
      </c>
      <c r="C29" s="22">
        <f>'BILANS 2022'!$D30</f>
        <v>0</v>
      </c>
      <c r="D29" s="85">
        <f>'BILANS 2023'!D30</f>
        <v>0</v>
      </c>
      <c r="E29" s="85">
        <f t="shared" si="0"/>
        <v>0</v>
      </c>
      <c r="F29" s="606" t="e">
        <f t="shared" si="1"/>
        <v>#DIV/0!</v>
      </c>
      <c r="G29" s="85">
        <f>'BILANS 2024'!D30</f>
        <v>0</v>
      </c>
      <c r="H29" s="85">
        <f t="shared" si="2"/>
        <v>0</v>
      </c>
      <c r="I29" s="606" t="e">
        <f t="shared" si="3"/>
        <v>#DIV/0!</v>
      </c>
      <c r="J29" s="85">
        <f>'BILANS 2025'!D30</f>
        <v>0</v>
      </c>
      <c r="K29" s="85">
        <f t="shared" si="4"/>
        <v>0</v>
      </c>
      <c r="L29" s="606" t="e">
        <f t="shared" si="5"/>
        <v>#DIV/0!</v>
      </c>
      <c r="M29" s="226"/>
      <c r="N29" s="70">
        <v>1</v>
      </c>
      <c r="O29" s="326" t="s">
        <v>60</v>
      </c>
      <c r="P29" s="327">
        <f>'BILANS 2022'!$K30</f>
        <v>0</v>
      </c>
      <c r="Q29" s="327">
        <f>'BILANS 2023'!$K30</f>
        <v>0</v>
      </c>
      <c r="R29" s="327">
        <f t="shared" si="6"/>
        <v>0</v>
      </c>
      <c r="S29" s="630" t="e">
        <f t="shared" si="7"/>
        <v>#DIV/0!</v>
      </c>
      <c r="T29" s="327">
        <f>'BILANS 2024'!$K30</f>
        <v>0</v>
      </c>
      <c r="U29" s="83">
        <f t="shared" si="8"/>
        <v>0</v>
      </c>
      <c r="V29" s="604" t="e">
        <f t="shared" si="9"/>
        <v>#DIV/0!</v>
      </c>
      <c r="W29" s="173">
        <f>'BILANS 2025'!$K30</f>
        <v>0</v>
      </c>
      <c r="X29" s="83">
        <f t="shared" si="10"/>
        <v>0</v>
      </c>
      <c r="Y29" s="659" t="e">
        <f t="shared" si="11"/>
        <v>#DIV/0!</v>
      </c>
    </row>
    <row r="30" spans="1:27" ht="30">
      <c r="A30" s="12" t="s">
        <v>21</v>
      </c>
      <c r="B30" s="188" t="s">
        <v>59</v>
      </c>
      <c r="C30" s="13">
        <f>'BILANS 2022'!$D31</f>
        <v>0</v>
      </c>
      <c r="D30" s="83">
        <f>'BILANS 2023'!D31</f>
        <v>0</v>
      </c>
      <c r="E30" s="83">
        <f t="shared" si="0"/>
        <v>0</v>
      </c>
      <c r="F30" s="604" t="e">
        <f t="shared" si="1"/>
        <v>#DIV/0!</v>
      </c>
      <c r="G30" s="83">
        <f>'BILANS 2024'!D31</f>
        <v>0</v>
      </c>
      <c r="H30" s="83">
        <f t="shared" si="2"/>
        <v>0</v>
      </c>
      <c r="I30" s="604" t="e">
        <f t="shared" si="3"/>
        <v>#DIV/0!</v>
      </c>
      <c r="J30" s="83">
        <f>'BILANS 2025'!D31</f>
        <v>0</v>
      </c>
      <c r="K30" s="83">
        <f t="shared" si="4"/>
        <v>0</v>
      </c>
      <c r="L30" s="604" t="e">
        <f t="shared" si="5"/>
        <v>#DIV/0!</v>
      </c>
      <c r="M30" s="226"/>
      <c r="N30" s="151">
        <v>2</v>
      </c>
      <c r="O30" s="306" t="s">
        <v>62</v>
      </c>
      <c r="P30" s="331">
        <f>'BILANS 2022'!$K31</f>
        <v>0</v>
      </c>
      <c r="Q30" s="331">
        <f>'BILANS 2023'!$K31</f>
        <v>0</v>
      </c>
      <c r="R30" s="331">
        <f t="shared" si="6"/>
        <v>0</v>
      </c>
      <c r="S30" s="633" t="e">
        <f t="shared" si="7"/>
        <v>#DIV/0!</v>
      </c>
      <c r="T30" s="331">
        <f>'BILANS 2024'!$K31</f>
        <v>0</v>
      </c>
      <c r="U30" s="228">
        <f t="shared" si="8"/>
        <v>0</v>
      </c>
      <c r="V30" s="608" t="e">
        <f t="shared" si="9"/>
        <v>#DIV/0!</v>
      </c>
      <c r="W30" s="216">
        <f>'BILANS 2025'!$K31</f>
        <v>0</v>
      </c>
      <c r="X30" s="228">
        <f t="shared" si="10"/>
        <v>0</v>
      </c>
      <c r="Y30" s="662" t="e">
        <f t="shared" si="11"/>
        <v>#DIV/0!</v>
      </c>
    </row>
    <row r="31" spans="1:27">
      <c r="A31" s="12"/>
      <c r="B31" s="188" t="s">
        <v>61</v>
      </c>
      <c r="C31" s="13">
        <f>'BILANS 2022'!$D32</f>
        <v>0</v>
      </c>
      <c r="D31" s="83">
        <f>'BILANS 2023'!D32</f>
        <v>0</v>
      </c>
      <c r="E31" s="83">
        <f t="shared" si="0"/>
        <v>0</v>
      </c>
      <c r="F31" s="604" t="e">
        <f t="shared" si="1"/>
        <v>#DIV/0!</v>
      </c>
      <c r="G31" s="83">
        <f>'BILANS 2024'!D32</f>
        <v>0</v>
      </c>
      <c r="H31" s="83">
        <f t="shared" si="2"/>
        <v>0</v>
      </c>
      <c r="I31" s="604" t="e">
        <f t="shared" si="3"/>
        <v>#DIV/0!</v>
      </c>
      <c r="J31" s="83">
        <f>'BILANS 2025'!D32</f>
        <v>0</v>
      </c>
      <c r="K31" s="83">
        <f t="shared" si="4"/>
        <v>0</v>
      </c>
      <c r="L31" s="604" t="e">
        <f t="shared" si="5"/>
        <v>#DIV/0!</v>
      </c>
      <c r="M31" s="226"/>
      <c r="N31" s="70">
        <v>3</v>
      </c>
      <c r="O31" s="326" t="s">
        <v>65</v>
      </c>
      <c r="P31" s="327">
        <f>'BILANS 2022'!$K32</f>
        <v>408048.83</v>
      </c>
      <c r="Q31" s="327">
        <f>'BILANS 2023'!$K32</f>
        <v>1851460</v>
      </c>
      <c r="R31" s="327">
        <f t="shared" si="6"/>
        <v>1443411.17</v>
      </c>
      <c r="S31" s="630">
        <f t="shared" si="7"/>
        <v>3.5373491206922463</v>
      </c>
      <c r="T31" s="327">
        <f>'BILANS 2024'!$K32</f>
        <v>1537020</v>
      </c>
      <c r="U31" s="83">
        <f t="shared" si="8"/>
        <v>-314440</v>
      </c>
      <c r="V31" s="604">
        <f t="shared" si="9"/>
        <v>-0.16983353677638188</v>
      </c>
      <c r="W31" s="173">
        <f>'BILANS 2025'!$K32</f>
        <v>1183900</v>
      </c>
      <c r="X31" s="83">
        <f t="shared" si="10"/>
        <v>-353120</v>
      </c>
      <c r="Y31" s="659">
        <f t="shared" si="11"/>
        <v>-0.22974326944346854</v>
      </c>
    </row>
    <row r="32" spans="1:27">
      <c r="A32" s="12"/>
      <c r="B32" s="188" t="s">
        <v>63</v>
      </c>
      <c r="C32" s="13">
        <f>'BILANS 2022'!$D33</f>
        <v>0</v>
      </c>
      <c r="D32" s="83">
        <f>'BILANS 2023'!D33</f>
        <v>0</v>
      </c>
      <c r="E32" s="83">
        <f t="shared" si="0"/>
        <v>0</v>
      </c>
      <c r="F32" s="604" t="e">
        <f t="shared" si="1"/>
        <v>#DIV/0!</v>
      </c>
      <c r="G32" s="83">
        <f>'BILANS 2024'!D33</f>
        <v>0</v>
      </c>
      <c r="H32" s="83">
        <f t="shared" si="2"/>
        <v>0</v>
      </c>
      <c r="I32" s="604" t="e">
        <f t="shared" si="3"/>
        <v>#DIV/0!</v>
      </c>
      <c r="J32" s="83">
        <f>'BILANS 2025'!D33</f>
        <v>0</v>
      </c>
      <c r="K32" s="83">
        <f t="shared" si="4"/>
        <v>0</v>
      </c>
      <c r="L32" s="604" t="e">
        <f t="shared" si="5"/>
        <v>#DIV/0!</v>
      </c>
      <c r="M32" s="226"/>
      <c r="N32" s="70" t="s">
        <v>21</v>
      </c>
      <c r="O32" s="326" t="s">
        <v>67</v>
      </c>
      <c r="P32" s="327">
        <f>'BILANS 2022'!$K33</f>
        <v>0</v>
      </c>
      <c r="Q32" s="327">
        <f>'BILANS 2023'!$K33</f>
        <v>1561100</v>
      </c>
      <c r="R32" s="327">
        <f t="shared" si="6"/>
        <v>1561100</v>
      </c>
      <c r="S32" s="631" t="e">
        <f t="shared" si="7"/>
        <v>#DIV/0!</v>
      </c>
      <c r="T32" s="327">
        <f>'BILANS 2024'!$K33</f>
        <v>1371200</v>
      </c>
      <c r="U32" s="83">
        <f t="shared" si="8"/>
        <v>-189900</v>
      </c>
      <c r="V32" s="614">
        <f t="shared" si="9"/>
        <v>-0.12164499391454743</v>
      </c>
      <c r="W32" s="173">
        <f>'BILANS 2025'!$K33</f>
        <v>1183900</v>
      </c>
      <c r="X32" s="83">
        <f t="shared" si="10"/>
        <v>-187300</v>
      </c>
      <c r="Y32" s="660">
        <f t="shared" si="11"/>
        <v>-0.13659568261376895</v>
      </c>
    </row>
    <row r="33" spans="1:25">
      <c r="A33" s="12"/>
      <c r="B33" s="188" t="s">
        <v>64</v>
      </c>
      <c r="C33" s="13">
        <f>'BILANS 2022'!$D34</f>
        <v>0</v>
      </c>
      <c r="D33" s="83">
        <f>'BILANS 2023'!D34</f>
        <v>0</v>
      </c>
      <c r="E33" s="83">
        <f t="shared" si="0"/>
        <v>0</v>
      </c>
      <c r="F33" s="604" t="e">
        <f t="shared" si="1"/>
        <v>#DIV/0!</v>
      </c>
      <c r="G33" s="83">
        <f>'BILANS 2024'!D34</f>
        <v>0</v>
      </c>
      <c r="H33" s="83">
        <f t="shared" si="2"/>
        <v>0</v>
      </c>
      <c r="I33" s="604" t="e">
        <f t="shared" si="3"/>
        <v>#DIV/0!</v>
      </c>
      <c r="J33" s="83">
        <f>'BILANS 2025'!D34</f>
        <v>0</v>
      </c>
      <c r="K33" s="83">
        <f t="shared" si="4"/>
        <v>0</v>
      </c>
      <c r="L33" s="604" t="e">
        <f t="shared" si="5"/>
        <v>#DIV/0!</v>
      </c>
      <c r="M33" s="226"/>
      <c r="N33" s="70" t="s">
        <v>24</v>
      </c>
      <c r="O33" s="326" t="s">
        <v>69</v>
      </c>
      <c r="P33" s="327">
        <f>'BILANS 2022'!$K34</f>
        <v>0</v>
      </c>
      <c r="Q33" s="327">
        <f>'BILANS 2023'!$K34</f>
        <v>0</v>
      </c>
      <c r="R33" s="327">
        <f t="shared" si="6"/>
        <v>0</v>
      </c>
      <c r="S33" s="630" t="e">
        <f t="shared" si="7"/>
        <v>#DIV/0!</v>
      </c>
      <c r="T33" s="327">
        <f>'BILANS 2024'!$K34</f>
        <v>0</v>
      </c>
      <c r="U33" s="83">
        <f t="shared" si="8"/>
        <v>0</v>
      </c>
      <c r="V33" s="604" t="e">
        <f t="shared" si="9"/>
        <v>#DIV/0!</v>
      </c>
      <c r="W33" s="173">
        <f>'BILANS 2025'!$K34</f>
        <v>0</v>
      </c>
      <c r="X33" s="83">
        <f t="shared" si="10"/>
        <v>0</v>
      </c>
      <c r="Y33" s="659" t="e">
        <f t="shared" si="11"/>
        <v>#DIV/0!</v>
      </c>
    </row>
    <row r="34" spans="1:25">
      <c r="A34" s="12"/>
      <c r="B34" s="30" t="s">
        <v>66</v>
      </c>
      <c r="C34" s="13">
        <f>'BILANS 2022'!$D35</f>
        <v>0</v>
      </c>
      <c r="D34" s="83">
        <f>'BILANS 2023'!D35</f>
        <v>0</v>
      </c>
      <c r="E34" s="83">
        <f t="shared" si="0"/>
        <v>0</v>
      </c>
      <c r="F34" s="604" t="e">
        <f t="shared" si="1"/>
        <v>#DIV/0!</v>
      </c>
      <c r="G34" s="83">
        <f>'BILANS 2024'!D35</f>
        <v>0</v>
      </c>
      <c r="H34" s="83">
        <f t="shared" si="2"/>
        <v>0</v>
      </c>
      <c r="I34" s="604" t="e">
        <f t="shared" si="3"/>
        <v>#DIV/0!</v>
      </c>
      <c r="J34" s="83">
        <f>'BILANS 2025'!D35</f>
        <v>0</v>
      </c>
      <c r="K34" s="83">
        <f t="shared" si="4"/>
        <v>0</v>
      </c>
      <c r="L34" s="604" t="e">
        <f t="shared" si="5"/>
        <v>#DIV/0!</v>
      </c>
      <c r="M34" s="226"/>
      <c r="N34" s="70" t="s">
        <v>27</v>
      </c>
      <c r="O34" s="326" t="s">
        <v>70</v>
      </c>
      <c r="P34" s="327">
        <f>'BILANS 2022'!$K35</f>
        <v>408048.83</v>
      </c>
      <c r="Q34" s="327">
        <f>'BILANS 2023'!$K35</f>
        <v>290360</v>
      </c>
      <c r="R34" s="327">
        <f t="shared" si="6"/>
        <v>-117688.83000000002</v>
      </c>
      <c r="S34" s="631">
        <f t="shared" si="7"/>
        <v>-0.28841849638436656</v>
      </c>
      <c r="T34" s="327">
        <f>'BILANS 2024'!$K35</f>
        <v>165820</v>
      </c>
      <c r="U34" s="83">
        <f t="shared" si="8"/>
        <v>-124540</v>
      </c>
      <c r="V34" s="614">
        <f t="shared" si="9"/>
        <v>-0.4289158286265326</v>
      </c>
      <c r="W34" s="173">
        <f>'BILANS 2025'!$K35</f>
        <v>0</v>
      </c>
      <c r="X34" s="83">
        <f t="shared" si="10"/>
        <v>-165820</v>
      </c>
      <c r="Y34" s="660">
        <f t="shared" si="11"/>
        <v>-1</v>
      </c>
    </row>
    <row r="35" spans="1:25" ht="30">
      <c r="A35" s="215" t="s">
        <v>24</v>
      </c>
      <c r="B35" s="332" t="s">
        <v>68</v>
      </c>
      <c r="C35" s="208">
        <f>'BILANS 2022'!$D36</f>
        <v>0</v>
      </c>
      <c r="D35" s="228">
        <f>'BILANS 2023'!D36</f>
        <v>0</v>
      </c>
      <c r="E35" s="228">
        <f t="shared" si="0"/>
        <v>0</v>
      </c>
      <c r="F35" s="608" t="e">
        <f t="shared" si="1"/>
        <v>#DIV/0!</v>
      </c>
      <c r="G35" s="228">
        <f>'BILANS 2024'!D36</f>
        <v>0</v>
      </c>
      <c r="H35" s="228">
        <f t="shared" si="2"/>
        <v>0</v>
      </c>
      <c r="I35" s="608" t="e">
        <f t="shared" si="3"/>
        <v>#DIV/0!</v>
      </c>
      <c r="J35" s="228">
        <f>'BILANS 2025'!D36</f>
        <v>0</v>
      </c>
      <c r="K35" s="228">
        <f t="shared" si="4"/>
        <v>0</v>
      </c>
      <c r="L35" s="608" t="e">
        <f t="shared" si="5"/>
        <v>#DIV/0!</v>
      </c>
      <c r="M35" s="226"/>
      <c r="N35" s="70" t="s">
        <v>31</v>
      </c>
      <c r="O35" s="326" t="s">
        <v>71</v>
      </c>
      <c r="P35" s="327">
        <f>'BILANS 2022'!$K36</f>
        <v>0</v>
      </c>
      <c r="Q35" s="327">
        <f>'BILANS 2023'!$K36</f>
        <v>0</v>
      </c>
      <c r="R35" s="327">
        <f t="shared" si="6"/>
        <v>0</v>
      </c>
      <c r="S35" s="631" t="e">
        <f t="shared" si="7"/>
        <v>#DIV/0!</v>
      </c>
      <c r="T35" s="327">
        <f>'BILANS 2024'!$K36</f>
        <v>0</v>
      </c>
      <c r="U35" s="83">
        <f t="shared" si="8"/>
        <v>0</v>
      </c>
      <c r="V35" s="614" t="e">
        <f t="shared" si="9"/>
        <v>#DIV/0!</v>
      </c>
      <c r="W35" s="173">
        <f>'BILANS 2025'!$K36</f>
        <v>0</v>
      </c>
      <c r="X35" s="83">
        <f t="shared" si="10"/>
        <v>0</v>
      </c>
      <c r="Y35" s="660" t="e">
        <f t="shared" si="11"/>
        <v>#DIV/0!</v>
      </c>
    </row>
    <row r="36" spans="1:25" ht="15.75" thickBot="1">
      <c r="A36" s="69"/>
      <c r="B36" s="190" t="s">
        <v>61</v>
      </c>
      <c r="C36" s="32">
        <f>'BILANS 2022'!$D37</f>
        <v>0</v>
      </c>
      <c r="D36" s="87">
        <f>'BILANS 2023'!D37</f>
        <v>0</v>
      </c>
      <c r="E36" s="87">
        <f t="shared" si="0"/>
        <v>0</v>
      </c>
      <c r="F36" s="609" t="e">
        <f t="shared" si="1"/>
        <v>#DIV/0!</v>
      </c>
      <c r="G36" s="87">
        <f>'BILANS 2024'!D37</f>
        <v>0</v>
      </c>
      <c r="H36" s="87">
        <f t="shared" si="2"/>
        <v>0</v>
      </c>
      <c r="I36" s="609" t="e">
        <f t="shared" si="3"/>
        <v>#DIV/0!</v>
      </c>
      <c r="J36" s="87">
        <f>'BILANS 2025'!D37</f>
        <v>0</v>
      </c>
      <c r="K36" s="87">
        <f t="shared" si="4"/>
        <v>0</v>
      </c>
      <c r="L36" s="609" t="e">
        <f t="shared" si="5"/>
        <v>#DIV/0!</v>
      </c>
      <c r="M36" s="226"/>
      <c r="N36" s="70" t="s">
        <v>35</v>
      </c>
      <c r="O36" s="326" t="s">
        <v>72</v>
      </c>
      <c r="P36" s="329">
        <f>'BILANS 2022'!$K37</f>
        <v>0</v>
      </c>
      <c r="Q36" s="329">
        <f>'BILANS 2023'!$K37</f>
        <v>0</v>
      </c>
      <c r="R36" s="329">
        <f t="shared" si="6"/>
        <v>0</v>
      </c>
      <c r="S36" s="632" t="e">
        <f t="shared" si="7"/>
        <v>#DIV/0!</v>
      </c>
      <c r="T36" s="329">
        <f>'BILANS 2024'!$K37</f>
        <v>0</v>
      </c>
      <c r="U36" s="84">
        <f t="shared" si="8"/>
        <v>0</v>
      </c>
      <c r="V36" s="648" t="e">
        <f t="shared" si="9"/>
        <v>#DIV/0!</v>
      </c>
      <c r="W36" s="330">
        <f>'BILANS 2025'!$K37</f>
        <v>0</v>
      </c>
      <c r="X36" s="84">
        <f t="shared" si="10"/>
        <v>0</v>
      </c>
      <c r="Y36" s="661" t="e">
        <f t="shared" si="11"/>
        <v>#DIV/0!</v>
      </c>
    </row>
    <row r="37" spans="1:25">
      <c r="A37" s="69"/>
      <c r="B37" s="190" t="s">
        <v>63</v>
      </c>
      <c r="C37" s="32">
        <f>'BILANS 2022'!$D38</f>
        <v>0</v>
      </c>
      <c r="D37" s="87">
        <f>'BILANS 2023'!D38</f>
        <v>0</v>
      </c>
      <c r="E37" s="87">
        <f t="shared" si="0"/>
        <v>0</v>
      </c>
      <c r="F37" s="609" t="e">
        <f t="shared" si="1"/>
        <v>#DIV/0!</v>
      </c>
      <c r="G37" s="87">
        <f>'BILANS 2024'!D38</f>
        <v>0</v>
      </c>
      <c r="H37" s="87">
        <f t="shared" si="2"/>
        <v>0</v>
      </c>
      <c r="I37" s="609" t="e">
        <f t="shared" si="3"/>
        <v>#DIV/0!</v>
      </c>
      <c r="J37" s="87">
        <f>'BILANS 2025'!D38</f>
        <v>0</v>
      </c>
      <c r="K37" s="87">
        <f t="shared" si="4"/>
        <v>0</v>
      </c>
      <c r="L37" s="609" t="e">
        <f t="shared" si="5"/>
        <v>#DIV/0!</v>
      </c>
      <c r="M37" s="226"/>
      <c r="N37" s="97" t="s">
        <v>16</v>
      </c>
      <c r="O37" s="324" t="s">
        <v>73</v>
      </c>
      <c r="P37" s="325">
        <f>'BILANS 2022'!$K38</f>
        <v>28152108.349999998</v>
      </c>
      <c r="Q37" s="325">
        <f>'BILANS 2023'!$K38</f>
        <v>29648488.829999998</v>
      </c>
      <c r="R37" s="325">
        <f t="shared" si="6"/>
        <v>1496380.4800000004</v>
      </c>
      <c r="S37" s="629">
        <f t="shared" si="7"/>
        <v>5.3153407247382968E-2</v>
      </c>
      <c r="T37" s="325">
        <f>'BILANS 2024'!$K38</f>
        <v>30914440</v>
      </c>
      <c r="U37" s="82">
        <f t="shared" si="8"/>
        <v>1265951.1700000018</v>
      </c>
      <c r="V37" s="603">
        <f t="shared" si="9"/>
        <v>4.2698674366129639E-2</v>
      </c>
      <c r="W37" s="293">
        <f>'BILANS 2025'!$K38</f>
        <v>31853120</v>
      </c>
      <c r="X37" s="82">
        <f t="shared" si="10"/>
        <v>938680</v>
      </c>
      <c r="Y37" s="658">
        <f t="shared" si="11"/>
        <v>3.0363804099314107E-2</v>
      </c>
    </row>
    <row r="38" spans="1:25">
      <c r="A38" s="69"/>
      <c r="B38" s="190" t="s">
        <v>64</v>
      </c>
      <c r="C38" s="32">
        <f>'BILANS 2022'!$D39</f>
        <v>0</v>
      </c>
      <c r="D38" s="87">
        <f>'BILANS 2023'!D39</f>
        <v>0</v>
      </c>
      <c r="E38" s="87">
        <f t="shared" si="0"/>
        <v>0</v>
      </c>
      <c r="F38" s="609" t="e">
        <f t="shared" si="1"/>
        <v>#DIV/0!</v>
      </c>
      <c r="G38" s="87">
        <f>'BILANS 2024'!D39</f>
        <v>0</v>
      </c>
      <c r="H38" s="87">
        <f t="shared" si="2"/>
        <v>0</v>
      </c>
      <c r="I38" s="609" t="e">
        <f t="shared" si="3"/>
        <v>#DIV/0!</v>
      </c>
      <c r="J38" s="87">
        <f>'BILANS 2025'!D39</f>
        <v>0</v>
      </c>
      <c r="K38" s="87">
        <f t="shared" si="4"/>
        <v>0</v>
      </c>
      <c r="L38" s="609" t="e">
        <f t="shared" si="5"/>
        <v>#DIV/0!</v>
      </c>
      <c r="M38" s="226"/>
      <c r="N38" s="70">
        <v>1</v>
      </c>
      <c r="O38" s="326" t="s">
        <v>60</v>
      </c>
      <c r="P38" s="327">
        <f>'BILANS 2022'!$K39</f>
        <v>0</v>
      </c>
      <c r="Q38" s="327">
        <f>'BILANS 2023'!$K39</f>
        <v>0</v>
      </c>
      <c r="R38" s="327">
        <f t="shared" si="6"/>
        <v>0</v>
      </c>
      <c r="S38" s="630" t="e">
        <f t="shared" si="7"/>
        <v>#DIV/0!</v>
      </c>
      <c r="T38" s="327">
        <f>'BILANS 2024'!$K39</f>
        <v>0</v>
      </c>
      <c r="U38" s="83">
        <f t="shared" si="8"/>
        <v>0</v>
      </c>
      <c r="V38" s="604" t="e">
        <f t="shared" si="9"/>
        <v>#DIV/0!</v>
      </c>
      <c r="W38" s="173">
        <f>'BILANS 2025'!$K39</f>
        <v>0</v>
      </c>
      <c r="X38" s="83">
        <f t="shared" si="10"/>
        <v>0</v>
      </c>
      <c r="Y38" s="659" t="e">
        <f t="shared" si="11"/>
        <v>#DIV/0!</v>
      </c>
    </row>
    <row r="39" spans="1:25">
      <c r="A39" s="69"/>
      <c r="B39" s="33" t="s">
        <v>66</v>
      </c>
      <c r="C39" s="32">
        <f>'BILANS 2022'!$D40</f>
        <v>0</v>
      </c>
      <c r="D39" s="87">
        <f>'BILANS 2023'!D40</f>
        <v>0</v>
      </c>
      <c r="E39" s="87">
        <f t="shared" si="0"/>
        <v>0</v>
      </c>
      <c r="F39" s="609" t="e">
        <f t="shared" si="1"/>
        <v>#DIV/0!</v>
      </c>
      <c r="G39" s="87">
        <f>'BILANS 2024'!D40</f>
        <v>0</v>
      </c>
      <c r="H39" s="87">
        <f t="shared" si="2"/>
        <v>0</v>
      </c>
      <c r="I39" s="609" t="e">
        <f t="shared" si="3"/>
        <v>#DIV/0!</v>
      </c>
      <c r="J39" s="87">
        <f>'BILANS 2025'!D40</f>
        <v>0</v>
      </c>
      <c r="K39" s="87">
        <f t="shared" si="4"/>
        <v>0</v>
      </c>
      <c r="L39" s="609" t="e">
        <f t="shared" si="5"/>
        <v>#DIV/0!</v>
      </c>
      <c r="M39" s="226"/>
      <c r="N39" s="70" t="s">
        <v>21</v>
      </c>
      <c r="O39" s="326" t="s">
        <v>75</v>
      </c>
      <c r="P39" s="327">
        <f>'BILANS 2022'!$K40</f>
        <v>0</v>
      </c>
      <c r="Q39" s="327">
        <f>'BILANS 2023'!$K40</f>
        <v>0</v>
      </c>
      <c r="R39" s="327">
        <f t="shared" si="6"/>
        <v>0</v>
      </c>
      <c r="S39" s="630" t="e">
        <f t="shared" si="7"/>
        <v>#DIV/0!</v>
      </c>
      <c r="T39" s="327">
        <f>'BILANS 2024'!$K40</f>
        <v>0</v>
      </c>
      <c r="U39" s="83">
        <f t="shared" si="8"/>
        <v>0</v>
      </c>
      <c r="V39" s="604" t="e">
        <f t="shared" si="9"/>
        <v>#DIV/0!</v>
      </c>
      <c r="W39" s="173">
        <f>'BILANS 2025'!$K40</f>
        <v>0</v>
      </c>
      <c r="X39" s="83">
        <f t="shared" si="10"/>
        <v>0</v>
      </c>
      <c r="Y39" s="659" t="e">
        <f t="shared" si="11"/>
        <v>#DIV/0!</v>
      </c>
    </row>
    <row r="40" spans="1:25">
      <c r="A40" s="12" t="s">
        <v>27</v>
      </c>
      <c r="B40" s="188" t="s">
        <v>74</v>
      </c>
      <c r="C40" s="13">
        <f>'BILANS 2022'!$D41</f>
        <v>0</v>
      </c>
      <c r="D40" s="83">
        <f>'BILANS 2023'!D41</f>
        <v>0</v>
      </c>
      <c r="E40" s="83">
        <f t="shared" si="0"/>
        <v>0</v>
      </c>
      <c r="F40" s="604" t="e">
        <f t="shared" si="1"/>
        <v>#DIV/0!</v>
      </c>
      <c r="G40" s="83">
        <f>'BILANS 2024'!D41</f>
        <v>0</v>
      </c>
      <c r="H40" s="83">
        <f t="shared" si="2"/>
        <v>0</v>
      </c>
      <c r="I40" s="604" t="e">
        <f t="shared" si="3"/>
        <v>#DIV/0!</v>
      </c>
      <c r="J40" s="83">
        <f>'BILANS 2025'!D41</f>
        <v>0</v>
      </c>
      <c r="K40" s="83">
        <f t="shared" si="4"/>
        <v>0</v>
      </c>
      <c r="L40" s="604" t="e">
        <f t="shared" si="5"/>
        <v>#DIV/0!</v>
      </c>
      <c r="M40" s="226"/>
      <c r="N40" s="70"/>
      <c r="O40" s="333" t="s">
        <v>76</v>
      </c>
      <c r="P40" s="327">
        <f>'BILANS 2022'!$K41</f>
        <v>0</v>
      </c>
      <c r="Q40" s="327">
        <f>'BILANS 2023'!$K41</f>
        <v>0</v>
      </c>
      <c r="R40" s="327">
        <f t="shared" si="6"/>
        <v>0</v>
      </c>
      <c r="S40" s="630" t="e">
        <f t="shared" si="7"/>
        <v>#DIV/0!</v>
      </c>
      <c r="T40" s="327">
        <f>'BILANS 2024'!$K41</f>
        <v>0</v>
      </c>
      <c r="U40" s="83">
        <f t="shared" si="8"/>
        <v>0</v>
      </c>
      <c r="V40" s="604" t="e">
        <f t="shared" si="9"/>
        <v>#DIV/0!</v>
      </c>
      <c r="W40" s="173">
        <f>'BILANS 2025'!$K41</f>
        <v>0</v>
      </c>
      <c r="X40" s="83">
        <f t="shared" si="10"/>
        <v>0</v>
      </c>
      <c r="Y40" s="659" t="e">
        <f t="shared" si="11"/>
        <v>#DIV/0!</v>
      </c>
    </row>
    <row r="41" spans="1:25">
      <c r="A41" s="12"/>
      <c r="B41" s="188" t="s">
        <v>61</v>
      </c>
      <c r="C41" s="13">
        <f>'BILANS 2022'!$D42</f>
        <v>0</v>
      </c>
      <c r="D41" s="83">
        <f>'BILANS 2023'!D42</f>
        <v>0</v>
      </c>
      <c r="E41" s="83">
        <f t="shared" si="0"/>
        <v>0</v>
      </c>
      <c r="F41" s="604" t="e">
        <f t="shared" si="1"/>
        <v>#DIV/0!</v>
      </c>
      <c r="G41" s="83">
        <f>'BILANS 2024'!D42</f>
        <v>0</v>
      </c>
      <c r="H41" s="83">
        <f t="shared" si="2"/>
        <v>0</v>
      </c>
      <c r="I41" s="604" t="e">
        <f t="shared" si="3"/>
        <v>#DIV/0!</v>
      </c>
      <c r="J41" s="83">
        <f>'BILANS 2025'!D42</f>
        <v>0</v>
      </c>
      <c r="K41" s="83">
        <f t="shared" si="4"/>
        <v>0</v>
      </c>
      <c r="L41" s="604" t="e">
        <f t="shared" si="5"/>
        <v>#DIV/0!</v>
      </c>
      <c r="M41" s="226"/>
      <c r="N41" s="70"/>
      <c r="O41" s="333" t="s">
        <v>77</v>
      </c>
      <c r="P41" s="327">
        <f>'BILANS 2022'!$K42</f>
        <v>0</v>
      </c>
      <c r="Q41" s="327">
        <f>'BILANS 2023'!$K42</f>
        <v>0</v>
      </c>
      <c r="R41" s="327">
        <f t="shared" si="6"/>
        <v>0</v>
      </c>
      <c r="S41" s="630" t="e">
        <f t="shared" si="7"/>
        <v>#DIV/0!</v>
      </c>
      <c r="T41" s="327">
        <f>'BILANS 2024'!$K42</f>
        <v>0</v>
      </c>
      <c r="U41" s="83">
        <f t="shared" si="8"/>
        <v>0</v>
      </c>
      <c r="V41" s="604" t="e">
        <f t="shared" si="9"/>
        <v>#DIV/0!</v>
      </c>
      <c r="W41" s="173">
        <f>'BILANS 2025'!$K42</f>
        <v>0</v>
      </c>
      <c r="X41" s="83">
        <f t="shared" si="10"/>
        <v>0</v>
      </c>
      <c r="Y41" s="659" t="e">
        <f t="shared" si="11"/>
        <v>#DIV/0!</v>
      </c>
    </row>
    <row r="42" spans="1:25">
      <c r="A42" s="12"/>
      <c r="B42" s="188" t="s">
        <v>63</v>
      </c>
      <c r="C42" s="13">
        <f>'BILANS 2022'!$D43</f>
        <v>0</v>
      </c>
      <c r="D42" s="83">
        <f>'BILANS 2023'!D43</f>
        <v>0</v>
      </c>
      <c r="E42" s="83">
        <f t="shared" si="0"/>
        <v>0</v>
      </c>
      <c r="F42" s="604" t="e">
        <f t="shared" si="1"/>
        <v>#DIV/0!</v>
      </c>
      <c r="G42" s="83">
        <f>'BILANS 2024'!D43</f>
        <v>0</v>
      </c>
      <c r="H42" s="83">
        <f t="shared" si="2"/>
        <v>0</v>
      </c>
      <c r="I42" s="604" t="e">
        <f t="shared" si="3"/>
        <v>#DIV/0!</v>
      </c>
      <c r="J42" s="83">
        <f>'BILANS 2025'!D43</f>
        <v>0</v>
      </c>
      <c r="K42" s="83">
        <f t="shared" si="4"/>
        <v>0</v>
      </c>
      <c r="L42" s="604" t="e">
        <f t="shared" si="5"/>
        <v>#DIV/0!</v>
      </c>
      <c r="M42" s="226"/>
      <c r="N42" s="70" t="s">
        <v>24</v>
      </c>
      <c r="O42" s="326" t="s">
        <v>78</v>
      </c>
      <c r="P42" s="327">
        <f>'BILANS 2022'!$K43</f>
        <v>0</v>
      </c>
      <c r="Q42" s="327">
        <f>'BILANS 2023'!$K43</f>
        <v>0</v>
      </c>
      <c r="R42" s="327">
        <f t="shared" si="6"/>
        <v>0</v>
      </c>
      <c r="S42" s="630" t="e">
        <f t="shared" si="7"/>
        <v>#DIV/0!</v>
      </c>
      <c r="T42" s="327">
        <f>'BILANS 2024'!$K43</f>
        <v>0</v>
      </c>
      <c r="U42" s="83">
        <f t="shared" si="8"/>
        <v>0</v>
      </c>
      <c r="V42" s="604" t="e">
        <f t="shared" si="9"/>
        <v>#DIV/0!</v>
      </c>
      <c r="W42" s="173">
        <f>'BILANS 2025'!$K43</f>
        <v>0</v>
      </c>
      <c r="X42" s="83">
        <f t="shared" si="10"/>
        <v>0</v>
      </c>
      <c r="Y42" s="659" t="e">
        <f t="shared" si="11"/>
        <v>#DIV/0!</v>
      </c>
    </row>
    <row r="43" spans="1:25" ht="30">
      <c r="A43" s="12"/>
      <c r="B43" s="188" t="s">
        <v>64</v>
      </c>
      <c r="C43" s="13">
        <f>'BILANS 2022'!$D44</f>
        <v>0</v>
      </c>
      <c r="D43" s="83">
        <f>'BILANS 2023'!D44</f>
        <v>0</v>
      </c>
      <c r="E43" s="83">
        <f t="shared" si="0"/>
        <v>0</v>
      </c>
      <c r="F43" s="604" t="e">
        <f t="shared" si="1"/>
        <v>#DIV/0!</v>
      </c>
      <c r="G43" s="83">
        <f>'BILANS 2024'!D44</f>
        <v>0</v>
      </c>
      <c r="H43" s="83">
        <f t="shared" si="2"/>
        <v>0</v>
      </c>
      <c r="I43" s="604" t="e">
        <f t="shared" si="3"/>
        <v>#DIV/0!</v>
      </c>
      <c r="J43" s="83">
        <f>'BILANS 2025'!D44</f>
        <v>0</v>
      </c>
      <c r="K43" s="83">
        <f t="shared" si="4"/>
        <v>0</v>
      </c>
      <c r="L43" s="604" t="e">
        <f t="shared" si="5"/>
        <v>#DIV/0!</v>
      </c>
      <c r="M43" s="226"/>
      <c r="N43" s="151">
        <v>2</v>
      </c>
      <c r="O43" s="306" t="s">
        <v>62</v>
      </c>
      <c r="P43" s="331">
        <f>'BILANS 2022'!$K44</f>
        <v>0</v>
      </c>
      <c r="Q43" s="331">
        <f>'BILANS 2023'!$K44</f>
        <v>0</v>
      </c>
      <c r="R43" s="331">
        <f t="shared" si="6"/>
        <v>0</v>
      </c>
      <c r="S43" s="633" t="e">
        <f t="shared" si="7"/>
        <v>#DIV/0!</v>
      </c>
      <c r="T43" s="331">
        <f>'BILANS 2024'!$K44</f>
        <v>0</v>
      </c>
      <c r="U43" s="228">
        <f t="shared" si="8"/>
        <v>0</v>
      </c>
      <c r="V43" s="608" t="e">
        <f t="shared" si="9"/>
        <v>#DIV/0!</v>
      </c>
      <c r="W43" s="216">
        <f>'BILANS 2025'!$K44</f>
        <v>0</v>
      </c>
      <c r="X43" s="228">
        <f t="shared" si="10"/>
        <v>0</v>
      </c>
      <c r="Y43" s="662" t="e">
        <f t="shared" si="11"/>
        <v>#DIV/0!</v>
      </c>
    </row>
    <row r="44" spans="1:25">
      <c r="A44" s="12"/>
      <c r="B44" s="30" t="s">
        <v>66</v>
      </c>
      <c r="C44" s="13">
        <f>'BILANS 2022'!$D45</f>
        <v>0</v>
      </c>
      <c r="D44" s="83">
        <f>'BILANS 2023'!D45</f>
        <v>0</v>
      </c>
      <c r="E44" s="83">
        <f t="shared" si="0"/>
        <v>0</v>
      </c>
      <c r="F44" s="604" t="e">
        <f t="shared" si="1"/>
        <v>#DIV/0!</v>
      </c>
      <c r="G44" s="83">
        <f>'BILANS 2024'!D45</f>
        <v>0</v>
      </c>
      <c r="H44" s="83">
        <f t="shared" si="2"/>
        <v>0</v>
      </c>
      <c r="I44" s="604" t="e">
        <f t="shared" si="3"/>
        <v>#DIV/0!</v>
      </c>
      <c r="J44" s="83">
        <f>'BILANS 2025'!D45</f>
        <v>0</v>
      </c>
      <c r="K44" s="83">
        <f t="shared" si="4"/>
        <v>0</v>
      </c>
      <c r="L44" s="604" t="e">
        <f t="shared" si="5"/>
        <v>#DIV/0!</v>
      </c>
      <c r="M44" s="226"/>
      <c r="N44" s="219" t="s">
        <v>21</v>
      </c>
      <c r="O44" s="334" t="s">
        <v>75</v>
      </c>
      <c r="P44" s="335">
        <f>'BILANS 2022'!$K45</f>
        <v>0</v>
      </c>
      <c r="Q44" s="335">
        <f>'BILANS 2023'!$K45</f>
        <v>0</v>
      </c>
      <c r="R44" s="335">
        <f t="shared" si="6"/>
        <v>0</v>
      </c>
      <c r="S44" s="634" t="e">
        <f t="shared" si="7"/>
        <v>#DIV/0!</v>
      </c>
      <c r="T44" s="335">
        <f>'BILANS 2024'!$K45</f>
        <v>0</v>
      </c>
      <c r="U44" s="87">
        <f t="shared" si="8"/>
        <v>0</v>
      </c>
      <c r="V44" s="609" t="e">
        <f t="shared" si="9"/>
        <v>#DIV/0!</v>
      </c>
      <c r="W44" s="176">
        <f>'BILANS 2025'!$K45</f>
        <v>0</v>
      </c>
      <c r="X44" s="87">
        <f t="shared" si="10"/>
        <v>0</v>
      </c>
      <c r="Y44" s="663" t="e">
        <f t="shared" si="11"/>
        <v>#DIV/0!</v>
      </c>
    </row>
    <row r="45" spans="1:25" ht="15.75" thickBot="1">
      <c r="A45" s="24">
        <v>4</v>
      </c>
      <c r="B45" s="191" t="s">
        <v>79</v>
      </c>
      <c r="C45" s="25">
        <f>'BILANS 2022'!$D46</f>
        <v>0</v>
      </c>
      <c r="D45" s="86">
        <f>'BILANS 2023'!D46</f>
        <v>0</v>
      </c>
      <c r="E45" s="86">
        <f t="shared" si="0"/>
        <v>0</v>
      </c>
      <c r="F45" s="607" t="e">
        <f t="shared" si="1"/>
        <v>#DIV/0!</v>
      </c>
      <c r="G45" s="86">
        <f>'BILANS 2024'!D46</f>
        <v>0</v>
      </c>
      <c r="H45" s="86">
        <f t="shared" si="2"/>
        <v>0</v>
      </c>
      <c r="I45" s="607" t="e">
        <f t="shared" si="3"/>
        <v>#DIV/0!</v>
      </c>
      <c r="J45" s="86">
        <f>'BILANS 2025'!D46</f>
        <v>0</v>
      </c>
      <c r="K45" s="86">
        <f t="shared" si="4"/>
        <v>0</v>
      </c>
      <c r="L45" s="607" t="e">
        <f t="shared" si="5"/>
        <v>#DIV/0!</v>
      </c>
      <c r="M45" s="226"/>
      <c r="N45" s="219"/>
      <c r="O45" s="336" t="s">
        <v>76</v>
      </c>
      <c r="P45" s="335">
        <f>'BILANS 2022'!$K46</f>
        <v>0</v>
      </c>
      <c r="Q45" s="335">
        <f>'BILANS 2023'!$K46</f>
        <v>0</v>
      </c>
      <c r="R45" s="335">
        <f t="shared" si="6"/>
        <v>0</v>
      </c>
      <c r="S45" s="634" t="e">
        <f t="shared" si="7"/>
        <v>#DIV/0!</v>
      </c>
      <c r="T45" s="335">
        <f>'BILANS 2024'!$K46</f>
        <v>0</v>
      </c>
      <c r="U45" s="87">
        <f t="shared" si="8"/>
        <v>0</v>
      </c>
      <c r="V45" s="609" t="e">
        <f t="shared" si="9"/>
        <v>#DIV/0!</v>
      </c>
      <c r="W45" s="176">
        <f>'BILANS 2025'!$K46</f>
        <v>0</v>
      </c>
      <c r="X45" s="87">
        <f t="shared" si="10"/>
        <v>0</v>
      </c>
      <c r="Y45" s="663" t="e">
        <f t="shared" si="11"/>
        <v>#DIV/0!</v>
      </c>
    </row>
    <row r="46" spans="1:25">
      <c r="A46" s="8" t="s">
        <v>80</v>
      </c>
      <c r="B46" s="28" t="s">
        <v>81</v>
      </c>
      <c r="C46" s="9">
        <f>'BILANS 2022'!$D47</f>
        <v>36902.800000000003</v>
      </c>
      <c r="D46" s="82">
        <f>'BILANS 2023'!D47</f>
        <v>0</v>
      </c>
      <c r="E46" s="82">
        <f t="shared" si="0"/>
        <v>-36902.800000000003</v>
      </c>
      <c r="F46" s="603">
        <f t="shared" si="1"/>
        <v>-1</v>
      </c>
      <c r="G46" s="82">
        <f>'BILANS 2024'!D47</f>
        <v>0</v>
      </c>
      <c r="H46" s="82">
        <f t="shared" si="2"/>
        <v>0</v>
      </c>
      <c r="I46" s="603" t="e">
        <f t="shared" si="3"/>
        <v>#DIV/0!</v>
      </c>
      <c r="J46" s="82">
        <f>'BILANS 2025'!D47</f>
        <v>0</v>
      </c>
      <c r="K46" s="82">
        <f t="shared" si="4"/>
        <v>0</v>
      </c>
      <c r="L46" s="603" t="e">
        <f t="shared" si="5"/>
        <v>#DIV/0!</v>
      </c>
      <c r="M46" s="226"/>
      <c r="N46" s="219"/>
      <c r="O46" s="336" t="s">
        <v>77</v>
      </c>
      <c r="P46" s="335">
        <f>'BILANS 2022'!$K47</f>
        <v>0</v>
      </c>
      <c r="Q46" s="335">
        <f>'BILANS 2023'!$K47</f>
        <v>0</v>
      </c>
      <c r="R46" s="335">
        <f t="shared" si="6"/>
        <v>0</v>
      </c>
      <c r="S46" s="634" t="e">
        <f t="shared" si="7"/>
        <v>#DIV/0!</v>
      </c>
      <c r="T46" s="335">
        <f>'BILANS 2024'!$K47</f>
        <v>0</v>
      </c>
      <c r="U46" s="87">
        <f t="shared" si="8"/>
        <v>0</v>
      </c>
      <c r="V46" s="609" t="e">
        <f t="shared" si="9"/>
        <v>#DIV/0!</v>
      </c>
      <c r="W46" s="176">
        <f>'BILANS 2025'!$K47</f>
        <v>0</v>
      </c>
      <c r="X46" s="87">
        <f t="shared" si="10"/>
        <v>0</v>
      </c>
      <c r="Y46" s="663" t="e">
        <f t="shared" si="11"/>
        <v>#DIV/0!</v>
      </c>
    </row>
    <row r="47" spans="1:25">
      <c r="A47" s="12">
        <v>1</v>
      </c>
      <c r="B47" s="30" t="s">
        <v>82</v>
      </c>
      <c r="C47" s="13">
        <f>'BILANS 2022'!$D48</f>
        <v>0</v>
      </c>
      <c r="D47" s="83">
        <f>'BILANS 2023'!D48</f>
        <v>0</v>
      </c>
      <c r="E47" s="83">
        <f t="shared" si="0"/>
        <v>0</v>
      </c>
      <c r="F47" s="604" t="e">
        <f t="shared" si="1"/>
        <v>#DIV/0!</v>
      </c>
      <c r="G47" s="83">
        <f>'BILANS 2024'!D48</f>
        <v>0</v>
      </c>
      <c r="H47" s="83">
        <f t="shared" si="2"/>
        <v>0</v>
      </c>
      <c r="I47" s="604" t="e">
        <f t="shared" si="3"/>
        <v>#DIV/0!</v>
      </c>
      <c r="J47" s="83">
        <f>'BILANS 2025'!D48</f>
        <v>0</v>
      </c>
      <c r="K47" s="83">
        <f t="shared" si="4"/>
        <v>0</v>
      </c>
      <c r="L47" s="604" t="e">
        <f t="shared" si="5"/>
        <v>#DIV/0!</v>
      </c>
      <c r="M47" s="226"/>
      <c r="N47" s="219" t="s">
        <v>24</v>
      </c>
      <c r="O47" s="334" t="s">
        <v>78</v>
      </c>
      <c r="P47" s="335">
        <f>'BILANS 2022'!$K48</f>
        <v>0</v>
      </c>
      <c r="Q47" s="335">
        <f>'BILANS 2023'!$K48</f>
        <v>0</v>
      </c>
      <c r="R47" s="335">
        <f t="shared" si="6"/>
        <v>0</v>
      </c>
      <c r="S47" s="634" t="e">
        <f t="shared" si="7"/>
        <v>#DIV/0!</v>
      </c>
      <c r="T47" s="335">
        <f>'BILANS 2024'!$K48</f>
        <v>0</v>
      </c>
      <c r="U47" s="87">
        <f t="shared" si="8"/>
        <v>0</v>
      </c>
      <c r="V47" s="609" t="e">
        <f t="shared" si="9"/>
        <v>#DIV/0!</v>
      </c>
      <c r="W47" s="176">
        <f>'BILANS 2025'!$K48</f>
        <v>0</v>
      </c>
      <c r="X47" s="87">
        <f t="shared" si="10"/>
        <v>0</v>
      </c>
      <c r="Y47" s="663" t="e">
        <f t="shared" si="11"/>
        <v>#DIV/0!</v>
      </c>
    </row>
    <row r="48" spans="1:25" ht="15.75" thickBot="1">
      <c r="A48" s="14">
        <v>2</v>
      </c>
      <c r="B48" s="40" t="s">
        <v>83</v>
      </c>
      <c r="C48" s="15">
        <f>'BILANS 2022'!$D49</f>
        <v>36902.800000000003</v>
      </c>
      <c r="D48" s="84">
        <f>'BILANS 2023'!D49</f>
        <v>0</v>
      </c>
      <c r="E48" s="84">
        <f t="shared" si="0"/>
        <v>-36902.800000000003</v>
      </c>
      <c r="F48" s="605">
        <f t="shared" si="1"/>
        <v>-1</v>
      </c>
      <c r="G48" s="84">
        <f>'BILANS 2024'!D49</f>
        <v>0</v>
      </c>
      <c r="H48" s="84">
        <f t="shared" si="2"/>
        <v>0</v>
      </c>
      <c r="I48" s="605" t="e">
        <f t="shared" si="3"/>
        <v>#DIV/0!</v>
      </c>
      <c r="J48" s="84">
        <f>'BILANS 2025'!D49</f>
        <v>0</v>
      </c>
      <c r="K48" s="84">
        <f t="shared" si="4"/>
        <v>0</v>
      </c>
      <c r="L48" s="605" t="e">
        <f t="shared" si="5"/>
        <v>#DIV/0!</v>
      </c>
      <c r="M48" s="226"/>
      <c r="N48" s="70">
        <v>3</v>
      </c>
      <c r="O48" s="326" t="s">
        <v>65</v>
      </c>
      <c r="P48" s="327">
        <f>'BILANS 2022'!$K49</f>
        <v>26230756.439999998</v>
      </c>
      <c r="Q48" s="327">
        <f>'BILANS 2023'!$K49</f>
        <v>27498488.829999998</v>
      </c>
      <c r="R48" s="327">
        <f t="shared" si="6"/>
        <v>1267732.3900000006</v>
      </c>
      <c r="S48" s="630">
        <f t="shared" si="7"/>
        <v>4.8329997379214E-2</v>
      </c>
      <c r="T48" s="327">
        <f>'BILANS 2024'!$K49</f>
        <v>28514440</v>
      </c>
      <c r="U48" s="83">
        <f t="shared" si="8"/>
        <v>1015951.1700000018</v>
      </c>
      <c r="V48" s="604">
        <f t="shared" si="9"/>
        <v>3.6945709136264632E-2</v>
      </c>
      <c r="W48" s="173">
        <f>'BILANS 2025'!$K49</f>
        <v>29353120</v>
      </c>
      <c r="X48" s="83">
        <f t="shared" si="10"/>
        <v>838680</v>
      </c>
      <c r="Y48" s="659">
        <f t="shared" si="11"/>
        <v>2.9412466104892818E-2</v>
      </c>
    </row>
    <row r="49" spans="1:25">
      <c r="A49" s="34" t="s">
        <v>41</v>
      </c>
      <c r="B49" s="192" t="s">
        <v>84</v>
      </c>
      <c r="C49" s="35">
        <f>'BILANS 2022'!$D50</f>
        <v>52107893.539999999</v>
      </c>
      <c r="D49" s="267">
        <f>'BILANS 2023'!D50</f>
        <v>52710000</v>
      </c>
      <c r="E49" s="267">
        <f t="shared" si="0"/>
        <v>602106.46000000089</v>
      </c>
      <c r="F49" s="610">
        <f t="shared" si="1"/>
        <v>1.1554995205050864E-2</v>
      </c>
      <c r="G49" s="267">
        <f>'BILANS 2024'!D50</f>
        <v>57806000</v>
      </c>
      <c r="H49" s="267">
        <f t="shared" si="2"/>
        <v>5096000</v>
      </c>
      <c r="I49" s="610">
        <f t="shared" si="3"/>
        <v>9.6679946879150061E-2</v>
      </c>
      <c r="J49" s="267">
        <f>'BILANS 2025'!D50</f>
        <v>61543000</v>
      </c>
      <c r="K49" s="267">
        <f t="shared" si="4"/>
        <v>3737000</v>
      </c>
      <c r="L49" s="610">
        <f t="shared" si="5"/>
        <v>6.4647268449641901E-2</v>
      </c>
      <c r="M49" s="226"/>
      <c r="N49" s="70" t="s">
        <v>21</v>
      </c>
      <c r="O49" s="326" t="s">
        <v>67</v>
      </c>
      <c r="P49" s="327">
        <f>'BILANS 2022'!$K50</f>
        <v>0</v>
      </c>
      <c r="Q49" s="327">
        <f>'BILANS 2023'!$K50</f>
        <v>180800</v>
      </c>
      <c r="R49" s="327">
        <f t="shared" si="6"/>
        <v>180800</v>
      </c>
      <c r="S49" s="631" t="e">
        <f t="shared" si="7"/>
        <v>#DIV/0!</v>
      </c>
      <c r="T49" s="327">
        <f>'BILANS 2024'!$K50</f>
        <v>189900</v>
      </c>
      <c r="U49" s="83">
        <f t="shared" si="8"/>
        <v>9100</v>
      </c>
      <c r="V49" s="614">
        <f t="shared" si="9"/>
        <v>5.0331858407079648E-2</v>
      </c>
      <c r="W49" s="173">
        <f>'BILANS 2025'!$K50</f>
        <v>187300</v>
      </c>
      <c r="X49" s="83">
        <f t="shared" si="10"/>
        <v>-2600</v>
      </c>
      <c r="Y49" s="660">
        <f t="shared" si="11"/>
        <v>-1.369141653501843E-2</v>
      </c>
    </row>
    <row r="50" spans="1:25" ht="15.75" thickBot="1">
      <c r="A50" s="36" t="s">
        <v>8</v>
      </c>
      <c r="B50" s="193" t="s">
        <v>85</v>
      </c>
      <c r="C50" s="37">
        <f>'BILANS 2022'!$D51</f>
        <v>640219.02</v>
      </c>
      <c r="D50" s="88">
        <f>'BILANS 2023'!D51</f>
        <v>680000</v>
      </c>
      <c r="E50" s="88">
        <f t="shared" si="0"/>
        <v>39780.979999999981</v>
      </c>
      <c r="F50" s="611">
        <f t="shared" si="1"/>
        <v>6.2136516968833544E-2</v>
      </c>
      <c r="G50" s="88">
        <f>'BILANS 2024'!D51</f>
        <v>691000</v>
      </c>
      <c r="H50" s="88">
        <f t="shared" si="2"/>
        <v>11000</v>
      </c>
      <c r="I50" s="611">
        <f t="shared" si="3"/>
        <v>1.6176470588235296E-2</v>
      </c>
      <c r="J50" s="88">
        <f>'BILANS 2025'!D51</f>
        <v>713000</v>
      </c>
      <c r="K50" s="88">
        <f t="shared" si="4"/>
        <v>22000</v>
      </c>
      <c r="L50" s="611">
        <f t="shared" si="5"/>
        <v>3.1837916063675829E-2</v>
      </c>
      <c r="M50" s="226"/>
      <c r="N50" s="70" t="s">
        <v>24</v>
      </c>
      <c r="O50" s="326" t="s">
        <v>69</v>
      </c>
      <c r="P50" s="327">
        <f>'BILANS 2022'!$K51</f>
        <v>0</v>
      </c>
      <c r="Q50" s="327">
        <f>'BILANS 2023'!$K51</f>
        <v>0</v>
      </c>
      <c r="R50" s="327">
        <f t="shared" si="6"/>
        <v>0</v>
      </c>
      <c r="S50" s="630" t="e">
        <f t="shared" si="7"/>
        <v>#DIV/0!</v>
      </c>
      <c r="T50" s="327">
        <f>'BILANS 2024'!$K51</f>
        <v>0</v>
      </c>
      <c r="U50" s="83">
        <f t="shared" si="8"/>
        <v>0</v>
      </c>
      <c r="V50" s="604" t="e">
        <f t="shared" si="9"/>
        <v>#DIV/0!</v>
      </c>
      <c r="W50" s="173">
        <f>'BILANS 2025'!$K51</f>
        <v>0</v>
      </c>
      <c r="X50" s="83">
        <f t="shared" si="10"/>
        <v>0</v>
      </c>
      <c r="Y50" s="659" t="e">
        <f t="shared" si="11"/>
        <v>#DIV/0!</v>
      </c>
    </row>
    <row r="51" spans="1:25">
      <c r="A51" s="38">
        <v>1</v>
      </c>
      <c r="B51" s="66" t="s">
        <v>86</v>
      </c>
      <c r="C51" s="39">
        <f>'BILANS 2022'!$D52</f>
        <v>583232.09</v>
      </c>
      <c r="D51" s="89">
        <f>'BILANS 2023'!D52</f>
        <v>620000</v>
      </c>
      <c r="E51" s="89">
        <f t="shared" si="0"/>
        <v>36767.910000000033</v>
      </c>
      <c r="F51" s="612">
        <f t="shared" si="1"/>
        <v>6.3041644364938892E-2</v>
      </c>
      <c r="G51" s="89">
        <f>'BILANS 2024'!D52</f>
        <v>630000</v>
      </c>
      <c r="H51" s="89">
        <f t="shared" si="2"/>
        <v>10000</v>
      </c>
      <c r="I51" s="612">
        <f t="shared" si="3"/>
        <v>1.6129032258064516E-2</v>
      </c>
      <c r="J51" s="89">
        <f>'BILANS 2025'!D52</f>
        <v>650000</v>
      </c>
      <c r="K51" s="89">
        <f t="shared" si="4"/>
        <v>20000</v>
      </c>
      <c r="L51" s="612">
        <f t="shared" si="5"/>
        <v>3.1746031746031744E-2</v>
      </c>
      <c r="M51" s="226"/>
      <c r="N51" s="70" t="s">
        <v>27</v>
      </c>
      <c r="O51" s="326" t="s">
        <v>70</v>
      </c>
      <c r="P51" s="327">
        <f>'BILANS 2022'!$K52</f>
        <v>111334.73</v>
      </c>
      <c r="Q51" s="327">
        <f>'BILANS 2023'!$K52</f>
        <v>117688.83</v>
      </c>
      <c r="R51" s="327">
        <f t="shared" si="6"/>
        <v>6354.1000000000058</v>
      </c>
      <c r="S51" s="631">
        <f t="shared" si="7"/>
        <v>5.7072038527420925E-2</v>
      </c>
      <c r="T51" s="327">
        <f>'BILANS 2024'!$K52</f>
        <v>124540</v>
      </c>
      <c r="U51" s="83">
        <f t="shared" si="8"/>
        <v>6851.1699999999983</v>
      </c>
      <c r="V51" s="614">
        <f t="shared" si="9"/>
        <v>5.8214275730330549E-2</v>
      </c>
      <c r="W51" s="173">
        <f>'BILANS 2025'!$K52</f>
        <v>165820</v>
      </c>
      <c r="X51" s="83">
        <f t="shared" si="10"/>
        <v>41280</v>
      </c>
      <c r="Y51" s="660">
        <f t="shared" si="11"/>
        <v>0.33145977196081577</v>
      </c>
    </row>
    <row r="52" spans="1:25">
      <c r="A52" s="12">
        <v>2</v>
      </c>
      <c r="B52" s="30" t="s">
        <v>87</v>
      </c>
      <c r="C52" s="13">
        <f>'BILANS 2022'!$D53</f>
        <v>0</v>
      </c>
      <c r="D52" s="83">
        <f>'BILANS 2023'!D53</f>
        <v>0</v>
      </c>
      <c r="E52" s="83">
        <f t="shared" si="0"/>
        <v>0</v>
      </c>
      <c r="F52" s="604" t="e">
        <f t="shared" si="1"/>
        <v>#DIV/0!</v>
      </c>
      <c r="G52" s="83">
        <f>'BILANS 2024'!D53</f>
        <v>0</v>
      </c>
      <c r="H52" s="83">
        <f t="shared" si="2"/>
        <v>0</v>
      </c>
      <c r="I52" s="604" t="e">
        <f t="shared" si="3"/>
        <v>#DIV/0!</v>
      </c>
      <c r="J52" s="83">
        <f>'BILANS 2025'!D53</f>
        <v>0</v>
      </c>
      <c r="K52" s="83">
        <f t="shared" si="4"/>
        <v>0</v>
      </c>
      <c r="L52" s="604" t="e">
        <f t="shared" si="5"/>
        <v>#DIV/0!</v>
      </c>
      <c r="M52" s="226"/>
      <c r="N52" s="220" t="s">
        <v>31</v>
      </c>
      <c r="O52" s="337" t="s">
        <v>75</v>
      </c>
      <c r="P52" s="338">
        <f>'BILANS 2022'!$K53</f>
        <v>6168628.79</v>
      </c>
      <c r="Q52" s="338">
        <f>'BILANS 2023'!$K53</f>
        <v>6400000</v>
      </c>
      <c r="R52" s="338">
        <f t="shared" si="6"/>
        <v>231371.20999999996</v>
      </c>
      <c r="S52" s="635">
        <f t="shared" si="7"/>
        <v>3.7507721387786727E-2</v>
      </c>
      <c r="T52" s="338">
        <f>'BILANS 2024'!$K53</f>
        <v>6600000</v>
      </c>
      <c r="U52" s="120">
        <f t="shared" si="8"/>
        <v>200000</v>
      </c>
      <c r="V52" s="613">
        <f t="shared" si="9"/>
        <v>3.125E-2</v>
      </c>
      <c r="W52" s="178">
        <f>'BILANS 2025'!$K53</f>
        <v>6800000</v>
      </c>
      <c r="X52" s="120">
        <f t="shared" si="10"/>
        <v>200000</v>
      </c>
      <c r="Y52" s="664">
        <f t="shared" si="11"/>
        <v>3.0303030303030304E-2</v>
      </c>
    </row>
    <row r="53" spans="1:25">
      <c r="A53" s="12">
        <v>3</v>
      </c>
      <c r="B53" s="30" t="s">
        <v>88</v>
      </c>
      <c r="C53" s="13">
        <f>'BILANS 2022'!$D54</f>
        <v>0</v>
      </c>
      <c r="D53" s="83">
        <f>'BILANS 2023'!D54</f>
        <v>0</v>
      </c>
      <c r="E53" s="83">
        <f t="shared" si="0"/>
        <v>0</v>
      </c>
      <c r="F53" s="604" t="e">
        <f t="shared" si="1"/>
        <v>#DIV/0!</v>
      </c>
      <c r="G53" s="83">
        <f>'BILANS 2024'!D54</f>
        <v>0</v>
      </c>
      <c r="H53" s="83">
        <f t="shared" si="2"/>
        <v>0</v>
      </c>
      <c r="I53" s="604" t="e">
        <f t="shared" si="3"/>
        <v>#DIV/0!</v>
      </c>
      <c r="J53" s="83">
        <f>'BILANS 2025'!D54</f>
        <v>0</v>
      </c>
      <c r="K53" s="83">
        <f t="shared" si="4"/>
        <v>0</v>
      </c>
      <c r="L53" s="604" t="e">
        <f t="shared" si="5"/>
        <v>#DIV/0!</v>
      </c>
      <c r="M53" s="226"/>
      <c r="N53" s="70"/>
      <c r="O53" s="333" t="s">
        <v>76</v>
      </c>
      <c r="P53" s="327">
        <f>'BILANS 2022'!$K54</f>
        <v>6168628.79</v>
      </c>
      <c r="Q53" s="327">
        <f>'BILANS 2023'!$K54</f>
        <v>6400000</v>
      </c>
      <c r="R53" s="327">
        <f t="shared" si="6"/>
        <v>231371.20999999996</v>
      </c>
      <c r="S53" s="630">
        <f t="shared" si="7"/>
        <v>3.7507721387786727E-2</v>
      </c>
      <c r="T53" s="327">
        <f>'BILANS 2024'!$K54</f>
        <v>6600000</v>
      </c>
      <c r="U53" s="83">
        <f t="shared" si="8"/>
        <v>200000</v>
      </c>
      <c r="V53" s="604">
        <f t="shared" si="9"/>
        <v>3.125E-2</v>
      </c>
      <c r="W53" s="173">
        <f>'BILANS 2025'!$K54</f>
        <v>6800000</v>
      </c>
      <c r="X53" s="83">
        <f t="shared" si="10"/>
        <v>200000</v>
      </c>
      <c r="Y53" s="659">
        <f t="shared" si="11"/>
        <v>3.0303030303030304E-2</v>
      </c>
    </row>
    <row r="54" spans="1:25">
      <c r="A54" s="198">
        <v>4</v>
      </c>
      <c r="B54" s="177" t="s">
        <v>89</v>
      </c>
      <c r="C54" s="154">
        <f>'BILANS 2022'!$D55</f>
        <v>56986.93</v>
      </c>
      <c r="D54" s="120">
        <f>'BILANS 2023'!D55</f>
        <v>60000</v>
      </c>
      <c r="E54" s="120">
        <f t="shared" si="0"/>
        <v>3013.0699999999997</v>
      </c>
      <c r="F54" s="613">
        <f t="shared" si="1"/>
        <v>5.2873000879324429E-2</v>
      </c>
      <c r="G54" s="120">
        <f>'BILANS 2024'!D55</f>
        <v>61000</v>
      </c>
      <c r="H54" s="120">
        <f t="shared" si="2"/>
        <v>1000</v>
      </c>
      <c r="I54" s="613">
        <f t="shared" si="3"/>
        <v>1.6666666666666666E-2</v>
      </c>
      <c r="J54" s="120">
        <f>'BILANS 2025'!D55</f>
        <v>63000</v>
      </c>
      <c r="K54" s="120">
        <f t="shared" si="4"/>
        <v>2000</v>
      </c>
      <c r="L54" s="613">
        <f t="shared" si="5"/>
        <v>3.2786885245901641E-2</v>
      </c>
      <c r="M54" s="226"/>
      <c r="N54" s="70"/>
      <c r="O54" s="333" t="s">
        <v>77</v>
      </c>
      <c r="P54" s="327">
        <f>'BILANS 2022'!$K55</f>
        <v>0</v>
      </c>
      <c r="Q54" s="327">
        <f>'BILANS 2023'!$K55</f>
        <v>0</v>
      </c>
      <c r="R54" s="327">
        <f t="shared" si="6"/>
        <v>0</v>
      </c>
      <c r="S54" s="630" t="e">
        <f t="shared" si="7"/>
        <v>#DIV/0!</v>
      </c>
      <c r="T54" s="327">
        <f>'BILANS 2024'!$K55</f>
        <v>0</v>
      </c>
      <c r="U54" s="83">
        <f t="shared" si="8"/>
        <v>0</v>
      </c>
      <c r="V54" s="604" t="e">
        <f t="shared" si="9"/>
        <v>#DIV/0!</v>
      </c>
      <c r="W54" s="173">
        <f>'BILANS 2025'!$K55</f>
        <v>0</v>
      </c>
      <c r="X54" s="83">
        <f t="shared" si="10"/>
        <v>0</v>
      </c>
      <c r="Y54" s="659" t="e">
        <f t="shared" si="11"/>
        <v>#DIV/0!</v>
      </c>
    </row>
    <row r="55" spans="1:25" ht="15.75" thickBot="1">
      <c r="A55" s="14">
        <v>5</v>
      </c>
      <c r="B55" s="194" t="s">
        <v>90</v>
      </c>
      <c r="C55" s="15">
        <f>'BILANS 2022'!$D56</f>
        <v>0</v>
      </c>
      <c r="D55" s="84">
        <f>'BILANS 2023'!D56</f>
        <v>0</v>
      </c>
      <c r="E55" s="84">
        <f t="shared" si="0"/>
        <v>0</v>
      </c>
      <c r="F55" s="605" t="e">
        <f t="shared" si="1"/>
        <v>#DIV/0!</v>
      </c>
      <c r="G55" s="84">
        <f>'BILANS 2024'!D56</f>
        <v>0</v>
      </c>
      <c r="H55" s="84">
        <f t="shared" si="2"/>
        <v>0</v>
      </c>
      <c r="I55" s="605" t="e">
        <f t="shared" si="3"/>
        <v>#DIV/0!</v>
      </c>
      <c r="J55" s="84">
        <f>'BILANS 2025'!D56</f>
        <v>0</v>
      </c>
      <c r="K55" s="84">
        <f t="shared" si="4"/>
        <v>0</v>
      </c>
      <c r="L55" s="605" t="e">
        <f t="shared" si="5"/>
        <v>#DIV/0!</v>
      </c>
      <c r="M55" s="226"/>
      <c r="N55" s="70" t="s">
        <v>35</v>
      </c>
      <c r="O55" s="326" t="s">
        <v>93</v>
      </c>
      <c r="P55" s="338">
        <f>'BILANS 2022'!$K56</f>
        <v>0</v>
      </c>
      <c r="Q55" s="338">
        <f>'BILANS 2023'!$K56</f>
        <v>0</v>
      </c>
      <c r="R55" s="338">
        <f t="shared" si="6"/>
        <v>0</v>
      </c>
      <c r="S55" s="635" t="e">
        <f t="shared" si="7"/>
        <v>#DIV/0!</v>
      </c>
      <c r="T55" s="338">
        <f>'BILANS 2024'!$K56</f>
        <v>0</v>
      </c>
      <c r="U55" s="120">
        <f t="shared" si="8"/>
        <v>0</v>
      </c>
      <c r="V55" s="613" t="e">
        <f t="shared" si="9"/>
        <v>#DIV/0!</v>
      </c>
      <c r="W55" s="178">
        <f>'BILANS 2025'!$K56</f>
        <v>0</v>
      </c>
      <c r="X55" s="120">
        <f t="shared" si="10"/>
        <v>0</v>
      </c>
      <c r="Y55" s="664" t="e">
        <f t="shared" si="11"/>
        <v>#DIV/0!</v>
      </c>
    </row>
    <row r="56" spans="1:25">
      <c r="A56" s="18" t="s">
        <v>11</v>
      </c>
      <c r="B56" s="184" t="s">
        <v>91</v>
      </c>
      <c r="C56" s="9">
        <f>'BILANS 2022'!$D57</f>
        <v>2378142.91</v>
      </c>
      <c r="D56" s="293">
        <f>'BILANS 2023'!D57</f>
        <v>2900000</v>
      </c>
      <c r="E56" s="82">
        <f t="shared" si="0"/>
        <v>521857.08999999985</v>
      </c>
      <c r="F56" s="603">
        <f t="shared" si="1"/>
        <v>0.21943891084325115</v>
      </c>
      <c r="G56" s="82">
        <f>'BILANS 2024'!D57</f>
        <v>2980000</v>
      </c>
      <c r="H56" s="82">
        <f t="shared" si="2"/>
        <v>80000</v>
      </c>
      <c r="I56" s="603">
        <f t="shared" si="3"/>
        <v>2.7586206896551724E-2</v>
      </c>
      <c r="J56" s="82">
        <f>'BILANS 2025'!D57</f>
        <v>3200000</v>
      </c>
      <c r="K56" s="82">
        <f t="shared" si="4"/>
        <v>220000</v>
      </c>
      <c r="L56" s="603">
        <f t="shared" si="5"/>
        <v>7.3825503355704702E-2</v>
      </c>
      <c r="M56" s="226"/>
      <c r="N56" s="70" t="s">
        <v>95</v>
      </c>
      <c r="O56" s="326" t="s">
        <v>71</v>
      </c>
      <c r="P56" s="327">
        <f>'BILANS 2022'!$K57</f>
        <v>0</v>
      </c>
      <c r="Q56" s="327">
        <f>'BILANS 2023'!$K57</f>
        <v>0</v>
      </c>
      <c r="R56" s="327">
        <f t="shared" si="6"/>
        <v>0</v>
      </c>
      <c r="S56" s="630" t="e">
        <f t="shared" si="7"/>
        <v>#DIV/0!</v>
      </c>
      <c r="T56" s="327">
        <f>'BILANS 2024'!$K57</f>
        <v>0</v>
      </c>
      <c r="U56" s="83">
        <f t="shared" si="8"/>
        <v>0</v>
      </c>
      <c r="V56" s="604" t="e">
        <f t="shared" si="9"/>
        <v>#DIV/0!</v>
      </c>
      <c r="W56" s="173">
        <f>'BILANS 2025'!$K57</f>
        <v>0</v>
      </c>
      <c r="X56" s="83">
        <f t="shared" si="10"/>
        <v>0</v>
      </c>
      <c r="Y56" s="659" t="e">
        <f t="shared" si="11"/>
        <v>#DIV/0!</v>
      </c>
    </row>
    <row r="57" spans="1:25" ht="30" customHeight="1">
      <c r="A57" s="21">
        <v>1</v>
      </c>
      <c r="B57" s="186" t="s">
        <v>92</v>
      </c>
      <c r="C57" s="22">
        <f>'BILANS 2022'!$D58</f>
        <v>0</v>
      </c>
      <c r="D57" s="85">
        <f>'BILANS 2023'!D58</f>
        <v>0</v>
      </c>
      <c r="E57" s="85">
        <f t="shared" si="0"/>
        <v>0</v>
      </c>
      <c r="F57" s="606" t="e">
        <f t="shared" si="1"/>
        <v>#DIV/0!</v>
      </c>
      <c r="G57" s="85">
        <f>'BILANS 2024'!D58</f>
        <v>0</v>
      </c>
      <c r="H57" s="85">
        <f t="shared" si="2"/>
        <v>0</v>
      </c>
      <c r="I57" s="606" t="e">
        <f t="shared" si="3"/>
        <v>#DIV/0!</v>
      </c>
      <c r="J57" s="85">
        <f>'BILANS 2025'!D58</f>
        <v>0</v>
      </c>
      <c r="K57" s="85">
        <f t="shared" si="4"/>
        <v>0</v>
      </c>
      <c r="L57" s="606" t="e">
        <f t="shared" si="5"/>
        <v>#DIV/0!</v>
      </c>
      <c r="M57" s="226"/>
      <c r="N57" s="70" t="s">
        <v>96</v>
      </c>
      <c r="O57" s="334" t="s">
        <v>97</v>
      </c>
      <c r="P57" s="327">
        <f>'BILANS 2022'!$K58</f>
        <v>8920841.1500000004</v>
      </c>
      <c r="Q57" s="327">
        <f>'BILANS 2023'!$K58</f>
        <v>8900000</v>
      </c>
      <c r="R57" s="327">
        <f t="shared" si="6"/>
        <v>-20841.150000000373</v>
      </c>
      <c r="S57" s="630">
        <f t="shared" si="7"/>
        <v>-2.3362314886640899E-3</v>
      </c>
      <c r="T57" s="327">
        <f>'BILANS 2024'!$K58</f>
        <v>9000000</v>
      </c>
      <c r="U57" s="83">
        <f t="shared" si="8"/>
        <v>100000</v>
      </c>
      <c r="V57" s="604">
        <f t="shared" si="9"/>
        <v>1.1235955056179775E-2</v>
      </c>
      <c r="W57" s="173">
        <f>'BILANS 2025'!$K58</f>
        <v>9200000</v>
      </c>
      <c r="X57" s="83">
        <f t="shared" si="10"/>
        <v>200000</v>
      </c>
      <c r="Y57" s="659">
        <f t="shared" si="11"/>
        <v>2.2222222222222223E-2</v>
      </c>
    </row>
    <row r="58" spans="1:25">
      <c r="A58" s="12" t="s">
        <v>21</v>
      </c>
      <c r="B58" s="30" t="s">
        <v>94</v>
      </c>
      <c r="C58" s="13">
        <f>'BILANS 2022'!$D59</f>
        <v>0</v>
      </c>
      <c r="D58" s="83">
        <f>'BILANS 2023'!D59</f>
        <v>0</v>
      </c>
      <c r="E58" s="83">
        <f t="shared" si="0"/>
        <v>0</v>
      </c>
      <c r="F58" s="604" t="e">
        <f t="shared" si="1"/>
        <v>#DIV/0!</v>
      </c>
      <c r="G58" s="83">
        <f>'BILANS 2024'!D59</f>
        <v>0</v>
      </c>
      <c r="H58" s="83">
        <f t="shared" si="2"/>
        <v>0</v>
      </c>
      <c r="I58" s="604" t="e">
        <f t="shared" si="3"/>
        <v>#DIV/0!</v>
      </c>
      <c r="J58" s="83">
        <f>'BILANS 2025'!D59</f>
        <v>0</v>
      </c>
      <c r="K58" s="83">
        <f t="shared" si="4"/>
        <v>0</v>
      </c>
      <c r="L58" s="604" t="e">
        <f t="shared" si="5"/>
        <v>#DIV/0!</v>
      </c>
      <c r="M58" s="226"/>
      <c r="N58" s="70" t="s">
        <v>98</v>
      </c>
      <c r="O58" s="326" t="s">
        <v>99</v>
      </c>
      <c r="P58" s="327">
        <f>'BILANS 2022'!$K59</f>
        <v>5911346.5099999998</v>
      </c>
      <c r="Q58" s="327">
        <f>'BILANS 2023'!$K59</f>
        <v>6600000</v>
      </c>
      <c r="R58" s="327">
        <f t="shared" si="6"/>
        <v>688653.49000000022</v>
      </c>
      <c r="S58" s="631">
        <f t="shared" si="7"/>
        <v>0.11649689099345324</v>
      </c>
      <c r="T58" s="327">
        <f>'BILANS 2024'!$K59</f>
        <v>7100000</v>
      </c>
      <c r="U58" s="83">
        <f t="shared" si="8"/>
        <v>500000</v>
      </c>
      <c r="V58" s="614">
        <f t="shared" si="9"/>
        <v>7.575757575757576E-2</v>
      </c>
      <c r="W58" s="173">
        <f>'BILANS 2025'!$K59</f>
        <v>7300000</v>
      </c>
      <c r="X58" s="83">
        <f t="shared" si="10"/>
        <v>200000</v>
      </c>
      <c r="Y58" s="660">
        <f t="shared" si="11"/>
        <v>2.8169014084507043E-2</v>
      </c>
    </row>
    <row r="59" spans="1:25">
      <c r="A59" s="12"/>
      <c r="B59" s="188" t="s">
        <v>76</v>
      </c>
      <c r="C59" s="13">
        <f>'BILANS 2022'!$D60</f>
        <v>0</v>
      </c>
      <c r="D59" s="83">
        <f>'BILANS 2023'!D60</f>
        <v>0</v>
      </c>
      <c r="E59" s="83">
        <f t="shared" si="0"/>
        <v>0</v>
      </c>
      <c r="F59" s="604" t="e">
        <f t="shared" si="1"/>
        <v>#DIV/0!</v>
      </c>
      <c r="G59" s="83">
        <f>'BILANS 2024'!D60</f>
        <v>0</v>
      </c>
      <c r="H59" s="83">
        <f t="shared" si="2"/>
        <v>0</v>
      </c>
      <c r="I59" s="604" t="e">
        <f t="shared" si="3"/>
        <v>#DIV/0!</v>
      </c>
      <c r="J59" s="83">
        <f>'BILANS 2025'!D60</f>
        <v>0</v>
      </c>
      <c r="K59" s="83">
        <f t="shared" si="4"/>
        <v>0</v>
      </c>
      <c r="L59" s="604" t="e">
        <f t="shared" si="5"/>
        <v>#DIV/0!</v>
      </c>
      <c r="M59" s="226"/>
      <c r="N59" s="70" t="s">
        <v>100</v>
      </c>
      <c r="O59" s="326" t="s">
        <v>78</v>
      </c>
      <c r="P59" s="327">
        <f>'BILANS 2022'!$K60</f>
        <v>5118605.26</v>
      </c>
      <c r="Q59" s="327">
        <f>'BILANS 2023'!$K60</f>
        <v>5300000</v>
      </c>
      <c r="R59" s="327">
        <f t="shared" si="6"/>
        <v>181394.74000000022</v>
      </c>
      <c r="S59" s="631">
        <f t="shared" si="7"/>
        <v>3.5438313912880291E-2</v>
      </c>
      <c r="T59" s="327">
        <f>'BILANS 2024'!$K60</f>
        <v>5500000</v>
      </c>
      <c r="U59" s="83">
        <f t="shared" si="8"/>
        <v>200000</v>
      </c>
      <c r="V59" s="614">
        <f t="shared" si="9"/>
        <v>3.7735849056603772E-2</v>
      </c>
      <c r="W59" s="173">
        <f>'BILANS 2025'!$K60</f>
        <v>5700000</v>
      </c>
      <c r="X59" s="83">
        <f t="shared" si="10"/>
        <v>200000</v>
      </c>
      <c r="Y59" s="660">
        <f t="shared" si="11"/>
        <v>3.6363636363636362E-2</v>
      </c>
    </row>
    <row r="60" spans="1:25" ht="15.75" thickBot="1">
      <c r="A60" s="12"/>
      <c r="B60" s="188" t="s">
        <v>77</v>
      </c>
      <c r="C60" s="13">
        <f>'BILANS 2022'!$D61</f>
        <v>0</v>
      </c>
      <c r="D60" s="83">
        <f>'BILANS 2023'!D61</f>
        <v>0</v>
      </c>
      <c r="E60" s="83">
        <f t="shared" si="0"/>
        <v>0</v>
      </c>
      <c r="F60" s="604" t="e">
        <f t="shared" si="1"/>
        <v>#DIV/0!</v>
      </c>
      <c r="G60" s="83">
        <f>'BILANS 2024'!D61</f>
        <v>0</v>
      </c>
      <c r="H60" s="83">
        <f t="shared" si="2"/>
        <v>0</v>
      </c>
      <c r="I60" s="604" t="e">
        <f t="shared" si="3"/>
        <v>#DIV/0!</v>
      </c>
      <c r="J60" s="83">
        <f>'BILANS 2025'!D61</f>
        <v>0</v>
      </c>
      <c r="K60" s="83">
        <f t="shared" si="4"/>
        <v>0</v>
      </c>
      <c r="L60" s="604" t="e">
        <f t="shared" si="5"/>
        <v>#DIV/0!</v>
      </c>
      <c r="M60" s="226"/>
      <c r="N60" s="70">
        <v>4</v>
      </c>
      <c r="O60" s="326" t="s">
        <v>102</v>
      </c>
      <c r="P60" s="329">
        <f>'BILANS 2022'!$K61</f>
        <v>1921351.91</v>
      </c>
      <c r="Q60" s="329">
        <f>'BILANS 2023'!$K61</f>
        <v>2150000</v>
      </c>
      <c r="R60" s="329">
        <f t="shared" si="6"/>
        <v>228648.09000000008</v>
      </c>
      <c r="S60" s="636">
        <f t="shared" si="7"/>
        <v>0.11900375397654253</v>
      </c>
      <c r="T60" s="329">
        <f>'BILANS 2024'!$K61</f>
        <v>2400000</v>
      </c>
      <c r="U60" s="84">
        <f t="shared" si="8"/>
        <v>250000</v>
      </c>
      <c r="V60" s="605">
        <f t="shared" si="9"/>
        <v>0.11627906976744186</v>
      </c>
      <c r="W60" s="330">
        <f>'BILANS 2025'!$K61</f>
        <v>2500000</v>
      </c>
      <c r="X60" s="84">
        <f t="shared" si="10"/>
        <v>100000</v>
      </c>
      <c r="Y60" s="665">
        <f t="shared" si="11"/>
        <v>4.1666666666666664E-2</v>
      </c>
    </row>
    <row r="61" spans="1:25">
      <c r="A61" s="12" t="s">
        <v>24</v>
      </c>
      <c r="B61" s="30" t="s">
        <v>78</v>
      </c>
      <c r="C61" s="13">
        <f>'BILANS 2022'!$D62</f>
        <v>0</v>
      </c>
      <c r="D61" s="83">
        <f>'BILANS 2023'!D62</f>
        <v>0</v>
      </c>
      <c r="E61" s="83">
        <f t="shared" si="0"/>
        <v>0</v>
      </c>
      <c r="F61" s="614" t="e">
        <f t="shared" si="1"/>
        <v>#DIV/0!</v>
      </c>
      <c r="G61" s="83">
        <f>'BILANS 2024'!D62</f>
        <v>0</v>
      </c>
      <c r="H61" s="83">
        <f t="shared" si="2"/>
        <v>0</v>
      </c>
      <c r="I61" s="614" t="e">
        <f t="shared" si="3"/>
        <v>#DIV/0!</v>
      </c>
      <c r="J61" s="83">
        <f>'BILANS 2025'!D62</f>
        <v>0</v>
      </c>
      <c r="K61" s="83">
        <f t="shared" si="4"/>
        <v>0</v>
      </c>
      <c r="L61" s="614" t="e">
        <f t="shared" si="5"/>
        <v>#DIV/0!</v>
      </c>
      <c r="M61" s="226"/>
      <c r="N61" s="97" t="s">
        <v>20</v>
      </c>
      <c r="O61" s="324" t="s">
        <v>103</v>
      </c>
      <c r="P61" s="325">
        <f>'BILANS 2022'!$K62</f>
        <v>12363592.529999999</v>
      </c>
      <c r="Q61" s="325">
        <f>'BILANS 2023'!$K62</f>
        <v>12448980</v>
      </c>
      <c r="R61" s="325">
        <f t="shared" si="6"/>
        <v>85387.470000000671</v>
      </c>
      <c r="S61" s="629">
        <f t="shared" si="7"/>
        <v>6.9063639708935535E-3</v>
      </c>
      <c r="T61" s="325">
        <f>'BILANS 2024'!$K62</f>
        <v>9867062</v>
      </c>
      <c r="U61" s="82">
        <f t="shared" si="8"/>
        <v>-2581918</v>
      </c>
      <c r="V61" s="603">
        <f t="shared" si="9"/>
        <v>-0.20739996369180447</v>
      </c>
      <c r="W61" s="293">
        <f>'BILANS 2025'!$K62</f>
        <v>7221727</v>
      </c>
      <c r="X61" s="82">
        <f t="shared" si="10"/>
        <v>-2645335</v>
      </c>
      <c r="Y61" s="658">
        <f t="shared" si="11"/>
        <v>-0.26809753501092826</v>
      </c>
    </row>
    <row r="62" spans="1:25" ht="30">
      <c r="A62" s="67">
        <v>2</v>
      </c>
      <c r="B62" s="195" t="s">
        <v>101</v>
      </c>
      <c r="C62" s="68">
        <f>'BILANS 2022'!$D63</f>
        <v>0</v>
      </c>
      <c r="D62" s="90">
        <f>'BILANS 2023'!D63</f>
        <v>0</v>
      </c>
      <c r="E62" s="90">
        <f t="shared" si="0"/>
        <v>0</v>
      </c>
      <c r="F62" s="615" t="e">
        <f t="shared" si="1"/>
        <v>#DIV/0!</v>
      </c>
      <c r="G62" s="90">
        <f>'BILANS 2024'!D63</f>
        <v>0</v>
      </c>
      <c r="H62" s="90">
        <f t="shared" si="2"/>
        <v>0</v>
      </c>
      <c r="I62" s="615" t="e">
        <f t="shared" si="3"/>
        <v>#DIV/0!</v>
      </c>
      <c r="J62" s="90">
        <f>'BILANS 2025'!D63</f>
        <v>0</v>
      </c>
      <c r="K62" s="90">
        <f t="shared" si="4"/>
        <v>0</v>
      </c>
      <c r="L62" s="615" t="e">
        <f t="shared" si="5"/>
        <v>#DIV/0!</v>
      </c>
      <c r="M62" s="226"/>
      <c r="N62" s="70">
        <v>1</v>
      </c>
      <c r="O62" s="326" t="s">
        <v>104</v>
      </c>
      <c r="P62" s="327">
        <f>'BILANS 2022'!$K63</f>
        <v>0</v>
      </c>
      <c r="Q62" s="327">
        <f>'BILANS 2023'!$K63</f>
        <v>0</v>
      </c>
      <c r="R62" s="327">
        <f t="shared" si="6"/>
        <v>0</v>
      </c>
      <c r="S62" s="630" t="e">
        <f t="shared" si="7"/>
        <v>#DIV/0!</v>
      </c>
      <c r="T62" s="327">
        <f>'BILANS 2024'!$K63</f>
        <v>0</v>
      </c>
      <c r="U62" s="83">
        <f t="shared" si="8"/>
        <v>0</v>
      </c>
      <c r="V62" s="604" t="e">
        <f t="shared" si="9"/>
        <v>#DIV/0!</v>
      </c>
      <c r="W62" s="173">
        <f>'BILANS 2025'!$K63</f>
        <v>0</v>
      </c>
      <c r="X62" s="83">
        <f t="shared" si="10"/>
        <v>0</v>
      </c>
      <c r="Y62" s="659" t="e">
        <f t="shared" si="11"/>
        <v>#DIV/0!</v>
      </c>
    </row>
    <row r="63" spans="1:25">
      <c r="A63" s="69" t="s">
        <v>21</v>
      </c>
      <c r="B63" s="33" t="s">
        <v>94</v>
      </c>
      <c r="C63" s="32">
        <f>'BILANS 2022'!$D64</f>
        <v>0</v>
      </c>
      <c r="D63" s="87">
        <f>'BILANS 2023'!D64</f>
        <v>0</v>
      </c>
      <c r="E63" s="87">
        <f t="shared" si="0"/>
        <v>0</v>
      </c>
      <c r="F63" s="609" t="e">
        <f t="shared" si="1"/>
        <v>#DIV/0!</v>
      </c>
      <c r="G63" s="87">
        <f>'BILANS 2024'!D64</f>
        <v>0</v>
      </c>
      <c r="H63" s="87">
        <f t="shared" si="2"/>
        <v>0</v>
      </c>
      <c r="I63" s="609" t="e">
        <f t="shared" si="3"/>
        <v>#DIV/0!</v>
      </c>
      <c r="J63" s="87">
        <f>'BILANS 2025'!D64</f>
        <v>0</v>
      </c>
      <c r="K63" s="87">
        <f t="shared" si="4"/>
        <v>0</v>
      </c>
      <c r="L63" s="609" t="e">
        <f t="shared" si="5"/>
        <v>#DIV/0!</v>
      </c>
      <c r="M63" s="226"/>
      <c r="N63" s="70">
        <v>2</v>
      </c>
      <c r="O63" s="326" t="s">
        <v>83</v>
      </c>
      <c r="P63" s="327">
        <f>'BILANS 2022'!$K64</f>
        <v>12363592.529999999</v>
      </c>
      <c r="Q63" s="327">
        <f>'BILANS 2023'!$K64</f>
        <v>12448980</v>
      </c>
      <c r="R63" s="327">
        <f t="shared" si="6"/>
        <v>85387.470000000671</v>
      </c>
      <c r="S63" s="630">
        <f t="shared" si="7"/>
        <v>6.9063639708935535E-3</v>
      </c>
      <c r="T63" s="327">
        <f>'BILANS 2024'!$K64</f>
        <v>9867062</v>
      </c>
      <c r="U63" s="83">
        <f t="shared" si="8"/>
        <v>-2581918</v>
      </c>
      <c r="V63" s="604">
        <f t="shared" si="9"/>
        <v>-0.20739996369180447</v>
      </c>
      <c r="W63" s="173">
        <f>'BILANS 2025'!$K64</f>
        <v>7221727</v>
      </c>
      <c r="X63" s="83">
        <f t="shared" si="10"/>
        <v>-2645335</v>
      </c>
      <c r="Y63" s="659">
        <f t="shared" si="11"/>
        <v>-0.26809753501092826</v>
      </c>
    </row>
    <row r="64" spans="1:25">
      <c r="A64" s="69"/>
      <c r="B64" s="190" t="s">
        <v>76</v>
      </c>
      <c r="C64" s="32">
        <f>'BILANS 2022'!$D65</f>
        <v>0</v>
      </c>
      <c r="D64" s="87">
        <f>'BILANS 2023'!D65</f>
        <v>0</v>
      </c>
      <c r="E64" s="87">
        <f t="shared" si="0"/>
        <v>0</v>
      </c>
      <c r="F64" s="609" t="e">
        <f t="shared" si="1"/>
        <v>#DIV/0!</v>
      </c>
      <c r="G64" s="87">
        <f>'BILANS 2024'!D65</f>
        <v>0</v>
      </c>
      <c r="H64" s="87">
        <f t="shared" si="2"/>
        <v>0</v>
      </c>
      <c r="I64" s="609" t="e">
        <f t="shared" si="3"/>
        <v>#DIV/0!</v>
      </c>
      <c r="J64" s="87">
        <f>'BILANS 2025'!D65</f>
        <v>0</v>
      </c>
      <c r="K64" s="87">
        <f t="shared" si="4"/>
        <v>0</v>
      </c>
      <c r="L64" s="609" t="e">
        <f t="shared" si="5"/>
        <v>#DIV/0!</v>
      </c>
      <c r="M64" s="226"/>
      <c r="N64" s="70"/>
      <c r="O64" s="326" t="s">
        <v>55</v>
      </c>
      <c r="P64" s="327">
        <f>'BILANS 2022'!$K65</f>
        <v>9800407.3599999994</v>
      </c>
      <c r="Q64" s="327">
        <f>'BILANS 2023'!$K65</f>
        <v>9803645</v>
      </c>
      <c r="R64" s="327">
        <f t="shared" si="6"/>
        <v>3237.640000000596</v>
      </c>
      <c r="S64" s="631">
        <f t="shared" si="7"/>
        <v>3.3035769647850598E-4</v>
      </c>
      <c r="T64" s="327">
        <f>'BILANS 2024'!$K65</f>
        <v>7221727</v>
      </c>
      <c r="U64" s="83">
        <f t="shared" si="8"/>
        <v>-2581918</v>
      </c>
      <c r="V64" s="614">
        <f t="shared" si="9"/>
        <v>-0.26336306547207694</v>
      </c>
      <c r="W64" s="173">
        <f>'BILANS 2025'!$K65</f>
        <v>4576392</v>
      </c>
      <c r="X64" s="83">
        <f t="shared" si="10"/>
        <v>-2645335</v>
      </c>
      <c r="Y64" s="660">
        <f t="shared" si="11"/>
        <v>-0.36630227091109924</v>
      </c>
    </row>
    <row r="65" spans="1:25">
      <c r="A65" s="69"/>
      <c r="B65" s="190" t="s">
        <v>77</v>
      </c>
      <c r="C65" s="32">
        <f>'BILANS 2022'!$D66</f>
        <v>0</v>
      </c>
      <c r="D65" s="87">
        <f>'BILANS 2023'!D66</f>
        <v>0</v>
      </c>
      <c r="E65" s="87">
        <f t="shared" si="0"/>
        <v>0</v>
      </c>
      <c r="F65" s="609" t="e">
        <f t="shared" si="1"/>
        <v>#DIV/0!</v>
      </c>
      <c r="G65" s="87">
        <f>'BILANS 2024'!D66</f>
        <v>0</v>
      </c>
      <c r="H65" s="87">
        <f t="shared" si="2"/>
        <v>0</v>
      </c>
      <c r="I65" s="609" t="e">
        <f t="shared" si="3"/>
        <v>#DIV/0!</v>
      </c>
      <c r="J65" s="87">
        <f>'BILANS 2025'!D66</f>
        <v>0</v>
      </c>
      <c r="K65" s="87">
        <f t="shared" si="4"/>
        <v>0</v>
      </c>
      <c r="L65" s="609" t="e">
        <f t="shared" si="5"/>
        <v>#DIV/0!</v>
      </c>
      <c r="M65" s="226"/>
      <c r="N65" s="70"/>
      <c r="O65" s="326" t="s">
        <v>56</v>
      </c>
      <c r="P65" s="327">
        <f>'BILANS 2022'!$K66</f>
        <v>2563185.17</v>
      </c>
      <c r="Q65" s="327">
        <f>'BILANS 2023'!$K66</f>
        <v>2645335</v>
      </c>
      <c r="R65" s="327">
        <f t="shared" si="6"/>
        <v>82149.830000000075</v>
      </c>
      <c r="S65" s="631">
        <f t="shared" si="7"/>
        <v>3.2049900632032793E-2</v>
      </c>
      <c r="T65" s="327">
        <f>'BILANS 2024'!$K66</f>
        <v>2645335</v>
      </c>
      <c r="U65" s="83">
        <f t="shared" si="8"/>
        <v>0</v>
      </c>
      <c r="V65" s="614">
        <f t="shared" si="9"/>
        <v>0</v>
      </c>
      <c r="W65" s="173">
        <f>'BILANS 2025'!$K66</f>
        <v>2645335</v>
      </c>
      <c r="X65" s="83">
        <f t="shared" si="10"/>
        <v>0</v>
      </c>
      <c r="Y65" s="660">
        <f t="shared" si="11"/>
        <v>0</v>
      </c>
    </row>
    <row r="66" spans="1:25">
      <c r="A66" s="69" t="s">
        <v>24</v>
      </c>
      <c r="B66" s="33" t="s">
        <v>78</v>
      </c>
      <c r="C66" s="32">
        <f>'BILANS 2022'!$D67</f>
        <v>0</v>
      </c>
      <c r="D66" s="87">
        <f>'BILANS 2023'!D67</f>
        <v>0</v>
      </c>
      <c r="E66" s="87">
        <f t="shared" si="0"/>
        <v>0</v>
      </c>
      <c r="F66" s="616" t="e">
        <f t="shared" si="1"/>
        <v>#DIV/0!</v>
      </c>
      <c r="G66" s="87">
        <f>'BILANS 2024'!D67</f>
        <v>0</v>
      </c>
      <c r="H66" s="87">
        <f t="shared" si="2"/>
        <v>0</v>
      </c>
      <c r="I66" s="616" t="e">
        <f t="shared" si="3"/>
        <v>#DIV/0!</v>
      </c>
      <c r="J66" s="87">
        <f>'BILANS 2025'!D67</f>
        <v>0</v>
      </c>
      <c r="K66" s="87">
        <f t="shared" si="4"/>
        <v>0</v>
      </c>
      <c r="L66" s="616" t="e">
        <f t="shared" si="5"/>
        <v>#DIV/0!</v>
      </c>
      <c r="M66" s="226"/>
      <c r="N66" s="70"/>
      <c r="O66" s="326"/>
      <c r="P66" s="327">
        <f>'BILANS 2022'!$K67</f>
        <v>0</v>
      </c>
      <c r="Q66" s="327">
        <f>'BILANS 2023'!$K67</f>
        <v>0</v>
      </c>
      <c r="R66" s="327">
        <f t="shared" si="6"/>
        <v>0</v>
      </c>
      <c r="S66" s="630" t="e">
        <f t="shared" si="7"/>
        <v>#DIV/0!</v>
      </c>
      <c r="T66" s="327">
        <f>'BILANS 2024'!$K67</f>
        <v>0</v>
      </c>
      <c r="U66" s="83">
        <f t="shared" si="8"/>
        <v>0</v>
      </c>
      <c r="V66" s="604" t="e">
        <f t="shared" si="9"/>
        <v>#DIV/0!</v>
      </c>
      <c r="W66" s="173">
        <f>'BILANS 2025'!$K67</f>
        <v>0</v>
      </c>
      <c r="X66" s="83">
        <f t="shared" si="10"/>
        <v>0</v>
      </c>
      <c r="Y66" s="659" t="e">
        <f t="shared" si="11"/>
        <v>#DIV/0!</v>
      </c>
    </row>
    <row r="67" spans="1:25">
      <c r="A67" s="21">
        <v>3</v>
      </c>
      <c r="B67" s="186" t="s">
        <v>105</v>
      </c>
      <c r="C67" s="22">
        <f>'BILANS 2022'!$D68</f>
        <v>2378142.91</v>
      </c>
      <c r="D67" s="85">
        <f>'BILANS 2023'!D68</f>
        <v>2900000</v>
      </c>
      <c r="E67" s="85">
        <f t="shared" si="0"/>
        <v>521857.08999999985</v>
      </c>
      <c r="F67" s="617">
        <f t="shared" si="1"/>
        <v>0.21943891084325115</v>
      </c>
      <c r="G67" s="85">
        <f>'BILANS 2024'!D68</f>
        <v>2980000</v>
      </c>
      <c r="H67" s="85">
        <f t="shared" si="2"/>
        <v>80000</v>
      </c>
      <c r="I67" s="617">
        <f t="shared" si="3"/>
        <v>2.7586206896551724E-2</v>
      </c>
      <c r="J67" s="85">
        <f>'BILANS 2025'!D68</f>
        <v>3200000</v>
      </c>
      <c r="K67" s="85">
        <f t="shared" si="4"/>
        <v>220000</v>
      </c>
      <c r="L67" s="617">
        <f t="shared" si="5"/>
        <v>7.3825503355704702E-2</v>
      </c>
      <c r="M67" s="226"/>
      <c r="N67" s="70"/>
      <c r="O67" s="326"/>
      <c r="P67" s="327">
        <f>'BILANS 2022'!$K68</f>
        <v>0</v>
      </c>
      <c r="Q67" s="327">
        <f>'BILANS 2023'!$K68</f>
        <v>0</v>
      </c>
      <c r="R67" s="327">
        <f t="shared" si="6"/>
        <v>0</v>
      </c>
      <c r="S67" s="630" t="e">
        <f t="shared" si="7"/>
        <v>#DIV/0!</v>
      </c>
      <c r="T67" s="327">
        <f>'BILANS 2024'!$K68</f>
        <v>0</v>
      </c>
      <c r="U67" s="83">
        <f t="shared" si="8"/>
        <v>0</v>
      </c>
      <c r="V67" s="604" t="e">
        <f t="shared" si="9"/>
        <v>#DIV/0!</v>
      </c>
      <c r="W67" s="173">
        <f>'BILANS 2025'!$K68</f>
        <v>0</v>
      </c>
      <c r="X67" s="83">
        <f t="shared" si="10"/>
        <v>0</v>
      </c>
      <c r="Y67" s="659" t="e">
        <f t="shared" si="11"/>
        <v>#DIV/0!</v>
      </c>
    </row>
    <row r="68" spans="1:25">
      <c r="A68" s="12" t="s">
        <v>21</v>
      </c>
      <c r="B68" s="30" t="s">
        <v>94</v>
      </c>
      <c r="C68" s="13">
        <f>'BILANS 2022'!$D69</f>
        <v>1920647.79</v>
      </c>
      <c r="D68" s="83">
        <f>'BILANS 2023'!D69</f>
        <v>2400000</v>
      </c>
      <c r="E68" s="83">
        <f t="shared" si="0"/>
        <v>479352.20999999996</v>
      </c>
      <c r="F68" s="614">
        <f t="shared" si="1"/>
        <v>0.24957840396130096</v>
      </c>
      <c r="G68" s="83">
        <f>'BILANS 2024'!D69</f>
        <v>2500000</v>
      </c>
      <c r="H68" s="83">
        <f t="shared" si="2"/>
        <v>100000</v>
      </c>
      <c r="I68" s="614">
        <f t="shared" si="3"/>
        <v>4.1666666666666664E-2</v>
      </c>
      <c r="J68" s="83">
        <f>'BILANS 2025'!D69</f>
        <v>2700000</v>
      </c>
      <c r="K68" s="83">
        <f t="shared" si="4"/>
        <v>200000</v>
      </c>
      <c r="L68" s="614">
        <f t="shared" si="5"/>
        <v>0.08</v>
      </c>
      <c r="M68" s="226"/>
      <c r="N68" s="70"/>
      <c r="O68" s="326"/>
      <c r="P68" s="327">
        <f>'BILANS 2022'!$K69</f>
        <v>0</v>
      </c>
      <c r="Q68" s="327">
        <f>'BILANS 2023'!$K69</f>
        <v>0</v>
      </c>
      <c r="R68" s="327">
        <f t="shared" si="6"/>
        <v>0</v>
      </c>
      <c r="S68" s="630" t="e">
        <f t="shared" si="7"/>
        <v>#DIV/0!</v>
      </c>
      <c r="T68" s="327">
        <f>'BILANS 2024'!$K69</f>
        <v>0</v>
      </c>
      <c r="U68" s="83">
        <f t="shared" si="8"/>
        <v>0</v>
      </c>
      <c r="V68" s="604" t="e">
        <f t="shared" si="9"/>
        <v>#DIV/0!</v>
      </c>
      <c r="W68" s="173">
        <f>'BILANS 2025'!$K69</f>
        <v>0</v>
      </c>
      <c r="X68" s="83">
        <f t="shared" si="10"/>
        <v>0</v>
      </c>
      <c r="Y68" s="659" t="e">
        <f t="shared" si="11"/>
        <v>#DIV/0!</v>
      </c>
    </row>
    <row r="69" spans="1:25">
      <c r="A69" s="12"/>
      <c r="B69" s="188" t="s">
        <v>76</v>
      </c>
      <c r="C69" s="13">
        <f>'BILANS 2022'!$D70</f>
        <v>1920647.79</v>
      </c>
      <c r="D69" s="83">
        <f>'BILANS 2023'!D70</f>
        <v>2400000</v>
      </c>
      <c r="E69" s="83">
        <f t="shared" si="0"/>
        <v>479352.20999999996</v>
      </c>
      <c r="F69" s="604">
        <f t="shared" si="1"/>
        <v>0.24957840396130096</v>
      </c>
      <c r="G69" s="83">
        <f>'BILANS 2024'!D70</f>
        <v>2500000</v>
      </c>
      <c r="H69" s="83">
        <f t="shared" si="2"/>
        <v>100000</v>
      </c>
      <c r="I69" s="604">
        <f t="shared" si="3"/>
        <v>4.1666666666666664E-2</v>
      </c>
      <c r="J69" s="83">
        <f>'BILANS 2025'!D70</f>
        <v>2700000</v>
      </c>
      <c r="K69" s="83">
        <f t="shared" si="4"/>
        <v>200000</v>
      </c>
      <c r="L69" s="604">
        <f t="shared" si="5"/>
        <v>0.08</v>
      </c>
      <c r="M69" s="226"/>
      <c r="N69" s="70"/>
      <c r="O69" s="326"/>
      <c r="P69" s="327">
        <f>'BILANS 2022'!$K70</f>
        <v>0</v>
      </c>
      <c r="Q69" s="327">
        <f>'BILANS 2023'!$K70</f>
        <v>0</v>
      </c>
      <c r="R69" s="327">
        <f t="shared" si="6"/>
        <v>0</v>
      </c>
      <c r="S69" s="630" t="e">
        <f t="shared" si="7"/>
        <v>#DIV/0!</v>
      </c>
      <c r="T69" s="327">
        <f>'BILANS 2024'!$K70</f>
        <v>0</v>
      </c>
      <c r="U69" s="83">
        <f t="shared" si="8"/>
        <v>0</v>
      </c>
      <c r="V69" s="604" t="e">
        <f t="shared" si="9"/>
        <v>#DIV/0!</v>
      </c>
      <c r="W69" s="173">
        <f>'BILANS 2025'!$K70</f>
        <v>0</v>
      </c>
      <c r="X69" s="83">
        <f t="shared" si="10"/>
        <v>0</v>
      </c>
      <c r="Y69" s="659" t="e">
        <f t="shared" si="11"/>
        <v>#DIV/0!</v>
      </c>
    </row>
    <row r="70" spans="1:25">
      <c r="A70" s="12"/>
      <c r="B70" s="188" t="s">
        <v>77</v>
      </c>
      <c r="C70" s="13">
        <f>'BILANS 2022'!$D71</f>
        <v>0</v>
      </c>
      <c r="D70" s="83">
        <f>'BILANS 2023'!D71</f>
        <v>0</v>
      </c>
      <c r="E70" s="83">
        <f t="shared" si="0"/>
        <v>0</v>
      </c>
      <c r="F70" s="604" t="e">
        <f t="shared" si="1"/>
        <v>#DIV/0!</v>
      </c>
      <c r="G70" s="83">
        <f>'BILANS 2024'!D71</f>
        <v>0</v>
      </c>
      <c r="H70" s="83">
        <f t="shared" si="2"/>
        <v>0</v>
      </c>
      <c r="I70" s="604" t="e">
        <f t="shared" si="3"/>
        <v>#DIV/0!</v>
      </c>
      <c r="J70" s="83">
        <f>'BILANS 2025'!D71</f>
        <v>0</v>
      </c>
      <c r="K70" s="83">
        <f t="shared" si="4"/>
        <v>0</v>
      </c>
      <c r="L70" s="604" t="e">
        <f t="shared" si="5"/>
        <v>#DIV/0!</v>
      </c>
      <c r="M70" s="226"/>
      <c r="N70" s="70"/>
      <c r="O70" s="326"/>
      <c r="P70" s="327">
        <f>'BILANS 2022'!$K71</f>
        <v>0</v>
      </c>
      <c r="Q70" s="327">
        <f>'BILANS 2023'!$K71</f>
        <v>0</v>
      </c>
      <c r="R70" s="327">
        <f t="shared" si="6"/>
        <v>0</v>
      </c>
      <c r="S70" s="630" t="e">
        <f t="shared" si="7"/>
        <v>#DIV/0!</v>
      </c>
      <c r="T70" s="327">
        <f>'BILANS 2024'!$K71</f>
        <v>0</v>
      </c>
      <c r="U70" s="83">
        <f t="shared" si="8"/>
        <v>0</v>
      </c>
      <c r="V70" s="604" t="e">
        <f t="shared" si="9"/>
        <v>#DIV/0!</v>
      </c>
      <c r="W70" s="173">
        <f>'BILANS 2025'!$K71</f>
        <v>0</v>
      </c>
      <c r="X70" s="83">
        <f t="shared" si="10"/>
        <v>0</v>
      </c>
      <c r="Y70" s="659" t="e">
        <f t="shared" si="11"/>
        <v>#DIV/0!</v>
      </c>
    </row>
    <row r="71" spans="1:25" ht="30">
      <c r="A71" s="12" t="s">
        <v>24</v>
      </c>
      <c r="B71" s="30" t="s">
        <v>106</v>
      </c>
      <c r="C71" s="13">
        <f>'BILANS 2022'!$D72</f>
        <v>0</v>
      </c>
      <c r="D71" s="83">
        <f>'BILANS 2023'!D72</f>
        <v>0</v>
      </c>
      <c r="E71" s="83">
        <f t="shared" si="0"/>
        <v>0</v>
      </c>
      <c r="F71" s="614" t="e">
        <f t="shared" si="1"/>
        <v>#DIV/0!</v>
      </c>
      <c r="G71" s="83">
        <f>'BILANS 2024'!D72</f>
        <v>0</v>
      </c>
      <c r="H71" s="83">
        <f t="shared" si="2"/>
        <v>0</v>
      </c>
      <c r="I71" s="614" t="e">
        <f t="shared" si="3"/>
        <v>#DIV/0!</v>
      </c>
      <c r="J71" s="83">
        <f>'BILANS 2025'!D72</f>
        <v>0</v>
      </c>
      <c r="K71" s="83">
        <f t="shared" si="4"/>
        <v>0</v>
      </c>
      <c r="L71" s="614" t="e">
        <f t="shared" si="5"/>
        <v>#DIV/0!</v>
      </c>
      <c r="M71" s="226"/>
      <c r="N71" s="70"/>
      <c r="O71" s="326"/>
      <c r="P71" s="327">
        <f>'BILANS 2022'!$K72</f>
        <v>0</v>
      </c>
      <c r="Q71" s="327">
        <f>'BILANS 2023'!$K72</f>
        <v>0</v>
      </c>
      <c r="R71" s="327">
        <f t="shared" si="6"/>
        <v>0</v>
      </c>
      <c r="S71" s="630" t="e">
        <f t="shared" si="7"/>
        <v>#DIV/0!</v>
      </c>
      <c r="T71" s="327">
        <f>'BILANS 2024'!$K72</f>
        <v>0</v>
      </c>
      <c r="U71" s="83">
        <f t="shared" si="8"/>
        <v>0</v>
      </c>
      <c r="V71" s="604" t="e">
        <f t="shared" si="9"/>
        <v>#DIV/0!</v>
      </c>
      <c r="W71" s="173">
        <f>'BILANS 2025'!$K72</f>
        <v>0</v>
      </c>
      <c r="X71" s="83">
        <f t="shared" si="10"/>
        <v>0</v>
      </c>
      <c r="Y71" s="659" t="e">
        <f t="shared" si="11"/>
        <v>#DIV/0!</v>
      </c>
    </row>
    <row r="72" spans="1:25">
      <c r="A72" s="12" t="s">
        <v>27</v>
      </c>
      <c r="B72" s="30" t="s">
        <v>78</v>
      </c>
      <c r="C72" s="13">
        <f>'BILANS 2022'!$D73</f>
        <v>457495.12</v>
      </c>
      <c r="D72" s="83">
        <f>'BILANS 2023'!D73</f>
        <v>500000</v>
      </c>
      <c r="E72" s="83">
        <f t="shared" ref="E72:E94" si="12">D72-C72</f>
        <v>42504.880000000005</v>
      </c>
      <c r="F72" s="614">
        <f t="shared" ref="F72:F94" si="13">E72/C72</f>
        <v>9.290783254693516E-2</v>
      </c>
      <c r="G72" s="83">
        <f>'BILANS 2024'!D73</f>
        <v>480000</v>
      </c>
      <c r="H72" s="83">
        <f t="shared" ref="H72:H94" si="14">G72-D72</f>
        <v>-20000</v>
      </c>
      <c r="I72" s="614">
        <f t="shared" ref="I72:I94" si="15">H72/D72</f>
        <v>-0.04</v>
      </c>
      <c r="J72" s="83">
        <f>'BILANS 2025'!D73</f>
        <v>500000</v>
      </c>
      <c r="K72" s="83">
        <f t="shared" ref="K72:K94" si="16">J72-G72</f>
        <v>20000</v>
      </c>
      <c r="L72" s="614">
        <f t="shared" ref="L72:L94" si="17">K72/G72</f>
        <v>4.1666666666666664E-2</v>
      </c>
      <c r="M72" s="226"/>
      <c r="N72" s="70"/>
      <c r="O72" s="326"/>
      <c r="P72" s="327">
        <f>'BILANS 2022'!$K73</f>
        <v>0</v>
      </c>
      <c r="Q72" s="327">
        <f>'BILANS 2023'!$K73</f>
        <v>0</v>
      </c>
      <c r="R72" s="327">
        <f t="shared" ref="R72:R94" si="18">Q72-P72</f>
        <v>0</v>
      </c>
      <c r="S72" s="630" t="e">
        <f t="shared" ref="S72:S94" si="19">R72/P72</f>
        <v>#DIV/0!</v>
      </c>
      <c r="T72" s="327">
        <f>'BILANS 2024'!$K73</f>
        <v>0</v>
      </c>
      <c r="U72" s="83">
        <f t="shared" ref="U72:U94" si="20">T72-Q72</f>
        <v>0</v>
      </c>
      <c r="V72" s="604" t="e">
        <f t="shared" ref="V72:V94" si="21">U72/Q72</f>
        <v>#DIV/0!</v>
      </c>
      <c r="W72" s="173">
        <f>'BILANS 2025'!$K73</f>
        <v>0</v>
      </c>
      <c r="X72" s="83">
        <f t="shared" ref="X72:X94" si="22">W72-T72</f>
        <v>0</v>
      </c>
      <c r="Y72" s="659" t="e">
        <f t="shared" ref="Y72:Y94" si="23">X72/T72</f>
        <v>#DIV/0!</v>
      </c>
    </row>
    <row r="73" spans="1:25" ht="15.75" thickBot="1">
      <c r="A73" s="223" t="s">
        <v>31</v>
      </c>
      <c r="B73" s="196" t="s">
        <v>107</v>
      </c>
      <c r="C73" s="15">
        <f>'BILANS 2022'!$D74</f>
        <v>0</v>
      </c>
      <c r="D73" s="84">
        <f>'BILANS 2023'!D74</f>
        <v>0</v>
      </c>
      <c r="E73" s="84">
        <f t="shared" si="12"/>
        <v>0</v>
      </c>
      <c r="F73" s="605" t="e">
        <f t="shared" si="13"/>
        <v>#DIV/0!</v>
      </c>
      <c r="G73" s="84">
        <f>'BILANS 2024'!D74</f>
        <v>0</v>
      </c>
      <c r="H73" s="84">
        <f t="shared" si="14"/>
        <v>0</v>
      </c>
      <c r="I73" s="605" t="e">
        <f t="shared" si="15"/>
        <v>#DIV/0!</v>
      </c>
      <c r="J73" s="84">
        <f>'BILANS 2025'!D74</f>
        <v>0</v>
      </c>
      <c r="K73" s="84">
        <f t="shared" si="16"/>
        <v>0</v>
      </c>
      <c r="L73" s="605" t="e">
        <f t="shared" si="17"/>
        <v>#DIV/0!</v>
      </c>
      <c r="M73" s="226"/>
      <c r="N73" s="70"/>
      <c r="O73" s="326"/>
      <c r="P73" s="327">
        <f>'BILANS 2022'!$K74</f>
        <v>0</v>
      </c>
      <c r="Q73" s="327">
        <f>'BILANS 2023'!$K74</f>
        <v>0</v>
      </c>
      <c r="R73" s="327">
        <f t="shared" si="18"/>
        <v>0</v>
      </c>
      <c r="S73" s="630" t="e">
        <f t="shared" si="19"/>
        <v>#DIV/0!</v>
      </c>
      <c r="T73" s="327">
        <f>'BILANS 2024'!$K74</f>
        <v>0</v>
      </c>
      <c r="U73" s="83">
        <f t="shared" si="20"/>
        <v>0</v>
      </c>
      <c r="V73" s="604" t="e">
        <f t="shared" si="21"/>
        <v>#DIV/0!</v>
      </c>
      <c r="W73" s="173">
        <f>'BILANS 2025'!$K74</f>
        <v>0</v>
      </c>
      <c r="X73" s="83">
        <f t="shared" si="22"/>
        <v>0</v>
      </c>
      <c r="Y73" s="659" t="e">
        <f t="shared" si="23"/>
        <v>#DIV/0!</v>
      </c>
    </row>
    <row r="74" spans="1:25">
      <c r="A74" s="8" t="s">
        <v>16</v>
      </c>
      <c r="B74" s="28" t="s">
        <v>108</v>
      </c>
      <c r="C74" s="9">
        <f>'BILANS 2022'!$D75</f>
        <v>48957908.689999998</v>
      </c>
      <c r="D74" s="82">
        <f>'BILANS 2023'!D75</f>
        <v>49000000</v>
      </c>
      <c r="E74" s="82">
        <f t="shared" si="12"/>
        <v>42091.310000002384</v>
      </c>
      <c r="F74" s="603">
        <f t="shared" si="13"/>
        <v>8.5974485279841691E-4</v>
      </c>
      <c r="G74" s="82">
        <f>'BILANS 2024'!D75</f>
        <v>54000000</v>
      </c>
      <c r="H74" s="82">
        <f t="shared" si="14"/>
        <v>5000000</v>
      </c>
      <c r="I74" s="603">
        <f t="shared" si="15"/>
        <v>0.10204081632653061</v>
      </c>
      <c r="J74" s="82">
        <f>'BILANS 2025'!D75</f>
        <v>57500000</v>
      </c>
      <c r="K74" s="82">
        <f t="shared" si="16"/>
        <v>3500000</v>
      </c>
      <c r="L74" s="603">
        <f t="shared" si="17"/>
        <v>6.4814814814814811E-2</v>
      </c>
      <c r="M74" s="226"/>
      <c r="N74" s="70"/>
      <c r="O74" s="326"/>
      <c r="P74" s="327">
        <f>'BILANS 2022'!$K75</f>
        <v>0</v>
      </c>
      <c r="Q74" s="327">
        <f>'BILANS 2023'!$K75</f>
        <v>0</v>
      </c>
      <c r="R74" s="327">
        <f t="shared" si="18"/>
        <v>0</v>
      </c>
      <c r="S74" s="630" t="e">
        <f t="shared" si="19"/>
        <v>#DIV/0!</v>
      </c>
      <c r="T74" s="327">
        <f>'BILANS 2024'!$K75</f>
        <v>0</v>
      </c>
      <c r="U74" s="83">
        <f t="shared" si="20"/>
        <v>0</v>
      </c>
      <c r="V74" s="604" t="e">
        <f t="shared" si="21"/>
        <v>#DIV/0!</v>
      </c>
      <c r="W74" s="173">
        <f>'BILANS 2025'!$K75</f>
        <v>0</v>
      </c>
      <c r="X74" s="83">
        <f t="shared" si="22"/>
        <v>0</v>
      </c>
      <c r="Y74" s="659" t="e">
        <f t="shared" si="23"/>
        <v>#DIV/0!</v>
      </c>
    </row>
    <row r="75" spans="1:25">
      <c r="A75" s="21">
        <v>1</v>
      </c>
      <c r="B75" s="186" t="s">
        <v>109</v>
      </c>
      <c r="C75" s="22">
        <f>'BILANS 2022'!$D76</f>
        <v>48957908.689999998</v>
      </c>
      <c r="D75" s="85">
        <f>'BILANS 2023'!D76</f>
        <v>49000000</v>
      </c>
      <c r="E75" s="85">
        <f t="shared" si="12"/>
        <v>42091.310000002384</v>
      </c>
      <c r="F75" s="606">
        <f t="shared" si="13"/>
        <v>8.5974485279841691E-4</v>
      </c>
      <c r="G75" s="85">
        <f>'BILANS 2024'!D76</f>
        <v>54000000</v>
      </c>
      <c r="H75" s="85">
        <f t="shared" si="14"/>
        <v>5000000</v>
      </c>
      <c r="I75" s="606">
        <f t="shared" si="15"/>
        <v>0.10204081632653061</v>
      </c>
      <c r="J75" s="85">
        <f>'BILANS 2025'!D76</f>
        <v>57500000</v>
      </c>
      <c r="K75" s="85">
        <f t="shared" si="16"/>
        <v>3500000</v>
      </c>
      <c r="L75" s="606">
        <f t="shared" si="17"/>
        <v>6.4814814814814811E-2</v>
      </c>
      <c r="M75" s="226"/>
      <c r="N75" s="70"/>
      <c r="O75" s="326"/>
      <c r="P75" s="327">
        <f>'BILANS 2022'!$K76</f>
        <v>0</v>
      </c>
      <c r="Q75" s="327">
        <f>'BILANS 2023'!$K76</f>
        <v>0</v>
      </c>
      <c r="R75" s="327">
        <f t="shared" si="18"/>
        <v>0</v>
      </c>
      <c r="S75" s="630" t="e">
        <f t="shared" si="19"/>
        <v>#DIV/0!</v>
      </c>
      <c r="T75" s="327">
        <f>'BILANS 2024'!$K76</f>
        <v>0</v>
      </c>
      <c r="U75" s="83">
        <f t="shared" si="20"/>
        <v>0</v>
      </c>
      <c r="V75" s="604" t="e">
        <f t="shared" si="21"/>
        <v>#DIV/0!</v>
      </c>
      <c r="W75" s="173">
        <f>'BILANS 2025'!$K76</f>
        <v>0</v>
      </c>
      <c r="X75" s="83">
        <f t="shared" si="22"/>
        <v>0</v>
      </c>
      <c r="Y75" s="659" t="e">
        <f t="shared" si="23"/>
        <v>#DIV/0!</v>
      </c>
    </row>
    <row r="76" spans="1:25">
      <c r="A76" s="12" t="s">
        <v>21</v>
      </c>
      <c r="B76" s="188" t="s">
        <v>59</v>
      </c>
      <c r="C76" s="13">
        <f>'BILANS 2022'!$D77</f>
        <v>0</v>
      </c>
      <c r="D76" s="83">
        <f>'BILANS 2023'!D77</f>
        <v>0</v>
      </c>
      <c r="E76" s="83">
        <f t="shared" si="12"/>
        <v>0</v>
      </c>
      <c r="F76" s="604" t="e">
        <f t="shared" si="13"/>
        <v>#DIV/0!</v>
      </c>
      <c r="G76" s="83">
        <f>'BILANS 2024'!D77</f>
        <v>0</v>
      </c>
      <c r="H76" s="83">
        <f t="shared" si="14"/>
        <v>0</v>
      </c>
      <c r="I76" s="604" t="e">
        <f t="shared" si="15"/>
        <v>#DIV/0!</v>
      </c>
      <c r="J76" s="83">
        <f>'BILANS 2025'!D77</f>
        <v>0</v>
      </c>
      <c r="K76" s="83">
        <f t="shared" si="16"/>
        <v>0</v>
      </c>
      <c r="L76" s="604" t="e">
        <f t="shared" si="17"/>
        <v>#DIV/0!</v>
      </c>
      <c r="M76" s="226"/>
      <c r="N76" s="70"/>
      <c r="O76" s="326"/>
      <c r="P76" s="327">
        <f>'BILANS 2022'!$K77</f>
        <v>0</v>
      </c>
      <c r="Q76" s="327">
        <f>'BILANS 2023'!$K77</f>
        <v>0</v>
      </c>
      <c r="R76" s="327">
        <f t="shared" si="18"/>
        <v>0</v>
      </c>
      <c r="S76" s="630" t="e">
        <f t="shared" si="19"/>
        <v>#DIV/0!</v>
      </c>
      <c r="T76" s="327">
        <f>'BILANS 2024'!$K77</f>
        <v>0</v>
      </c>
      <c r="U76" s="83">
        <f t="shared" si="20"/>
        <v>0</v>
      </c>
      <c r="V76" s="604" t="e">
        <f t="shared" si="21"/>
        <v>#DIV/0!</v>
      </c>
      <c r="W76" s="173">
        <f>'BILANS 2025'!$K77</f>
        <v>0</v>
      </c>
      <c r="X76" s="83">
        <f t="shared" si="22"/>
        <v>0</v>
      </c>
      <c r="Y76" s="659" t="e">
        <f t="shared" si="23"/>
        <v>#DIV/0!</v>
      </c>
    </row>
    <row r="77" spans="1:25">
      <c r="A77" s="12"/>
      <c r="B77" s="188" t="s">
        <v>61</v>
      </c>
      <c r="C77" s="13">
        <f>'BILANS 2022'!$D78</f>
        <v>0</v>
      </c>
      <c r="D77" s="83">
        <f>'BILANS 2023'!D78</f>
        <v>0</v>
      </c>
      <c r="E77" s="83">
        <f t="shared" si="12"/>
        <v>0</v>
      </c>
      <c r="F77" s="604" t="e">
        <f t="shared" si="13"/>
        <v>#DIV/0!</v>
      </c>
      <c r="G77" s="83">
        <f>'BILANS 2024'!D78</f>
        <v>0</v>
      </c>
      <c r="H77" s="83">
        <f t="shared" si="14"/>
        <v>0</v>
      </c>
      <c r="I77" s="604" t="e">
        <f t="shared" si="15"/>
        <v>#DIV/0!</v>
      </c>
      <c r="J77" s="83">
        <f>'BILANS 2025'!D78</f>
        <v>0</v>
      </c>
      <c r="K77" s="83">
        <f t="shared" si="16"/>
        <v>0</v>
      </c>
      <c r="L77" s="604" t="e">
        <f t="shared" si="17"/>
        <v>#DIV/0!</v>
      </c>
      <c r="M77" s="226"/>
      <c r="N77" s="70"/>
      <c r="O77" s="326"/>
      <c r="P77" s="327">
        <f>'BILANS 2022'!$K78</f>
        <v>0</v>
      </c>
      <c r="Q77" s="327">
        <f>'BILANS 2023'!$K78</f>
        <v>0</v>
      </c>
      <c r="R77" s="327">
        <f t="shared" si="18"/>
        <v>0</v>
      </c>
      <c r="S77" s="630" t="e">
        <f t="shared" si="19"/>
        <v>#DIV/0!</v>
      </c>
      <c r="T77" s="327">
        <f>'BILANS 2024'!$K78</f>
        <v>0</v>
      </c>
      <c r="U77" s="83">
        <f t="shared" si="20"/>
        <v>0</v>
      </c>
      <c r="V77" s="604" t="e">
        <f t="shared" si="21"/>
        <v>#DIV/0!</v>
      </c>
      <c r="W77" s="173">
        <f>'BILANS 2025'!$K78</f>
        <v>0</v>
      </c>
      <c r="X77" s="83">
        <f t="shared" si="22"/>
        <v>0</v>
      </c>
      <c r="Y77" s="659" t="e">
        <f t="shared" si="23"/>
        <v>#DIV/0!</v>
      </c>
    </row>
    <row r="78" spans="1:25">
      <c r="A78" s="12"/>
      <c r="B78" s="188" t="s">
        <v>63</v>
      </c>
      <c r="C78" s="13">
        <f>'BILANS 2022'!$D79</f>
        <v>0</v>
      </c>
      <c r="D78" s="83">
        <f>'BILANS 2023'!D79</f>
        <v>0</v>
      </c>
      <c r="E78" s="83">
        <f t="shared" si="12"/>
        <v>0</v>
      </c>
      <c r="F78" s="604" t="e">
        <f t="shared" si="13"/>
        <v>#DIV/0!</v>
      </c>
      <c r="G78" s="83">
        <f>'BILANS 2024'!D79</f>
        <v>0</v>
      </c>
      <c r="H78" s="83">
        <f t="shared" si="14"/>
        <v>0</v>
      </c>
      <c r="I78" s="604" t="e">
        <f t="shared" si="15"/>
        <v>#DIV/0!</v>
      </c>
      <c r="J78" s="83">
        <f>'BILANS 2025'!D79</f>
        <v>0</v>
      </c>
      <c r="K78" s="83">
        <f t="shared" si="16"/>
        <v>0</v>
      </c>
      <c r="L78" s="604" t="e">
        <f t="shared" si="17"/>
        <v>#DIV/0!</v>
      </c>
      <c r="M78" s="226"/>
      <c r="N78" s="70"/>
      <c r="O78" s="326"/>
      <c r="P78" s="327">
        <f>'BILANS 2022'!$K79</f>
        <v>0</v>
      </c>
      <c r="Q78" s="327">
        <f>'BILANS 2023'!$K79</f>
        <v>0</v>
      </c>
      <c r="R78" s="327">
        <f t="shared" si="18"/>
        <v>0</v>
      </c>
      <c r="S78" s="630" t="e">
        <f t="shared" si="19"/>
        <v>#DIV/0!</v>
      </c>
      <c r="T78" s="327">
        <f>'BILANS 2024'!$K79</f>
        <v>0</v>
      </c>
      <c r="U78" s="83">
        <f t="shared" si="20"/>
        <v>0</v>
      </c>
      <c r="V78" s="604" t="e">
        <f t="shared" si="21"/>
        <v>#DIV/0!</v>
      </c>
      <c r="W78" s="173">
        <f>'BILANS 2025'!$K79</f>
        <v>0</v>
      </c>
      <c r="X78" s="83">
        <f t="shared" si="22"/>
        <v>0</v>
      </c>
      <c r="Y78" s="659" t="e">
        <f t="shared" si="23"/>
        <v>#DIV/0!</v>
      </c>
    </row>
    <row r="79" spans="1:25">
      <c r="A79" s="12"/>
      <c r="B79" s="188" t="s">
        <v>64</v>
      </c>
      <c r="C79" s="13">
        <f>'BILANS 2022'!$D80</f>
        <v>0</v>
      </c>
      <c r="D79" s="83">
        <f>'BILANS 2023'!D80</f>
        <v>0</v>
      </c>
      <c r="E79" s="83">
        <f t="shared" si="12"/>
        <v>0</v>
      </c>
      <c r="F79" s="604" t="e">
        <f t="shared" si="13"/>
        <v>#DIV/0!</v>
      </c>
      <c r="G79" s="83">
        <f>'BILANS 2024'!D80</f>
        <v>0</v>
      </c>
      <c r="H79" s="83">
        <f t="shared" si="14"/>
        <v>0</v>
      </c>
      <c r="I79" s="604" t="e">
        <f t="shared" si="15"/>
        <v>#DIV/0!</v>
      </c>
      <c r="J79" s="83">
        <f>'BILANS 2025'!D80</f>
        <v>0</v>
      </c>
      <c r="K79" s="83">
        <f t="shared" si="16"/>
        <v>0</v>
      </c>
      <c r="L79" s="604" t="e">
        <f t="shared" si="17"/>
        <v>#DIV/0!</v>
      </c>
      <c r="M79" s="226"/>
      <c r="N79" s="70"/>
      <c r="O79" s="326"/>
      <c r="P79" s="327">
        <f>'BILANS 2022'!$K80</f>
        <v>0</v>
      </c>
      <c r="Q79" s="327">
        <f>'BILANS 2023'!$K80</f>
        <v>0</v>
      </c>
      <c r="R79" s="327">
        <f t="shared" si="18"/>
        <v>0</v>
      </c>
      <c r="S79" s="630" t="e">
        <f t="shared" si="19"/>
        <v>#DIV/0!</v>
      </c>
      <c r="T79" s="327">
        <f>'BILANS 2024'!$K80</f>
        <v>0</v>
      </c>
      <c r="U79" s="83">
        <f t="shared" si="20"/>
        <v>0</v>
      </c>
      <c r="V79" s="604" t="e">
        <f t="shared" si="21"/>
        <v>#DIV/0!</v>
      </c>
      <c r="W79" s="173">
        <f>'BILANS 2025'!$K80</f>
        <v>0</v>
      </c>
      <c r="X79" s="83">
        <f t="shared" si="22"/>
        <v>0</v>
      </c>
      <c r="Y79" s="659" t="e">
        <f t="shared" si="23"/>
        <v>#DIV/0!</v>
      </c>
    </row>
    <row r="80" spans="1:25">
      <c r="A80" s="12"/>
      <c r="B80" s="30" t="s">
        <v>110</v>
      </c>
      <c r="C80" s="13">
        <f>'BILANS 2022'!$D81</f>
        <v>0</v>
      </c>
      <c r="D80" s="83">
        <f>'BILANS 2023'!D81</f>
        <v>0</v>
      </c>
      <c r="E80" s="83">
        <f t="shared" si="12"/>
        <v>0</v>
      </c>
      <c r="F80" s="604" t="e">
        <f t="shared" si="13"/>
        <v>#DIV/0!</v>
      </c>
      <c r="G80" s="83">
        <f>'BILANS 2024'!D81</f>
        <v>0</v>
      </c>
      <c r="H80" s="83">
        <f t="shared" si="14"/>
        <v>0</v>
      </c>
      <c r="I80" s="604" t="e">
        <f t="shared" si="15"/>
        <v>#DIV/0!</v>
      </c>
      <c r="J80" s="83">
        <f>'BILANS 2025'!D81</f>
        <v>0</v>
      </c>
      <c r="K80" s="83">
        <f t="shared" si="16"/>
        <v>0</v>
      </c>
      <c r="L80" s="604" t="e">
        <f t="shared" si="17"/>
        <v>#DIV/0!</v>
      </c>
      <c r="M80" s="226"/>
      <c r="N80" s="70"/>
      <c r="O80" s="326"/>
      <c r="P80" s="327">
        <f>'BILANS 2022'!$K81</f>
        <v>0</v>
      </c>
      <c r="Q80" s="327">
        <f>'BILANS 2023'!$K81</f>
        <v>0</v>
      </c>
      <c r="R80" s="327">
        <f t="shared" si="18"/>
        <v>0</v>
      </c>
      <c r="S80" s="630" t="e">
        <f t="shared" si="19"/>
        <v>#DIV/0!</v>
      </c>
      <c r="T80" s="327">
        <f>'BILANS 2024'!$K81</f>
        <v>0</v>
      </c>
      <c r="U80" s="83">
        <f t="shared" si="20"/>
        <v>0</v>
      </c>
      <c r="V80" s="604" t="e">
        <f t="shared" si="21"/>
        <v>#DIV/0!</v>
      </c>
      <c r="W80" s="173">
        <f>'BILANS 2025'!$K81</f>
        <v>0</v>
      </c>
      <c r="X80" s="83">
        <f t="shared" si="22"/>
        <v>0</v>
      </c>
      <c r="Y80" s="659" t="e">
        <f t="shared" si="23"/>
        <v>#DIV/0!</v>
      </c>
    </row>
    <row r="81" spans="1:25">
      <c r="A81" s="12" t="s">
        <v>24</v>
      </c>
      <c r="B81" s="188" t="s">
        <v>74</v>
      </c>
      <c r="C81" s="13">
        <f>'BILANS 2022'!$D82</f>
        <v>0</v>
      </c>
      <c r="D81" s="83">
        <f>'BILANS 2023'!D82</f>
        <v>0</v>
      </c>
      <c r="E81" s="83">
        <f t="shared" si="12"/>
        <v>0</v>
      </c>
      <c r="F81" s="604" t="e">
        <f t="shared" si="13"/>
        <v>#DIV/0!</v>
      </c>
      <c r="G81" s="83">
        <f>'BILANS 2024'!D82</f>
        <v>0</v>
      </c>
      <c r="H81" s="83">
        <f t="shared" si="14"/>
        <v>0</v>
      </c>
      <c r="I81" s="604" t="e">
        <f t="shared" si="15"/>
        <v>#DIV/0!</v>
      </c>
      <c r="J81" s="83">
        <f>'BILANS 2025'!D82</f>
        <v>0</v>
      </c>
      <c r="K81" s="83">
        <f t="shared" si="16"/>
        <v>0</v>
      </c>
      <c r="L81" s="604" t="e">
        <f t="shared" si="17"/>
        <v>#DIV/0!</v>
      </c>
      <c r="M81" s="226"/>
      <c r="N81" s="70"/>
      <c r="O81" s="326"/>
      <c r="P81" s="327">
        <f>'BILANS 2022'!$K82</f>
        <v>0</v>
      </c>
      <c r="Q81" s="327">
        <f>'BILANS 2023'!$K82</f>
        <v>0</v>
      </c>
      <c r="R81" s="327">
        <f t="shared" si="18"/>
        <v>0</v>
      </c>
      <c r="S81" s="630" t="e">
        <f t="shared" si="19"/>
        <v>#DIV/0!</v>
      </c>
      <c r="T81" s="327">
        <f>'BILANS 2024'!$K82</f>
        <v>0</v>
      </c>
      <c r="U81" s="83">
        <f t="shared" si="20"/>
        <v>0</v>
      </c>
      <c r="V81" s="604" t="e">
        <f t="shared" si="21"/>
        <v>#DIV/0!</v>
      </c>
      <c r="W81" s="173">
        <f>'BILANS 2025'!$K82</f>
        <v>0</v>
      </c>
      <c r="X81" s="83">
        <f t="shared" si="22"/>
        <v>0</v>
      </c>
      <c r="Y81" s="659" t="e">
        <f t="shared" si="23"/>
        <v>#DIV/0!</v>
      </c>
    </row>
    <row r="82" spans="1:25">
      <c r="A82" s="12"/>
      <c r="B82" s="188" t="s">
        <v>61</v>
      </c>
      <c r="C82" s="13">
        <f>'BILANS 2022'!$D83</f>
        <v>0</v>
      </c>
      <c r="D82" s="83">
        <f>'BILANS 2023'!D83</f>
        <v>0</v>
      </c>
      <c r="E82" s="83">
        <f t="shared" si="12"/>
        <v>0</v>
      </c>
      <c r="F82" s="604" t="e">
        <f t="shared" si="13"/>
        <v>#DIV/0!</v>
      </c>
      <c r="G82" s="83">
        <f>'BILANS 2024'!D83</f>
        <v>0</v>
      </c>
      <c r="H82" s="83">
        <f t="shared" si="14"/>
        <v>0</v>
      </c>
      <c r="I82" s="604" t="e">
        <f t="shared" si="15"/>
        <v>#DIV/0!</v>
      </c>
      <c r="J82" s="83">
        <f>'BILANS 2025'!D83</f>
        <v>0</v>
      </c>
      <c r="K82" s="83">
        <f t="shared" si="16"/>
        <v>0</v>
      </c>
      <c r="L82" s="604" t="e">
        <f t="shared" si="17"/>
        <v>#DIV/0!</v>
      </c>
      <c r="M82" s="226"/>
      <c r="N82" s="70"/>
      <c r="O82" s="326"/>
      <c r="P82" s="327">
        <f>'BILANS 2022'!$K83</f>
        <v>0</v>
      </c>
      <c r="Q82" s="327">
        <f>'BILANS 2023'!$K83</f>
        <v>0</v>
      </c>
      <c r="R82" s="327">
        <f t="shared" si="18"/>
        <v>0</v>
      </c>
      <c r="S82" s="630" t="e">
        <f t="shared" si="19"/>
        <v>#DIV/0!</v>
      </c>
      <c r="T82" s="327">
        <f>'BILANS 2024'!$K83</f>
        <v>0</v>
      </c>
      <c r="U82" s="83">
        <f t="shared" si="20"/>
        <v>0</v>
      </c>
      <c r="V82" s="604" t="e">
        <f t="shared" si="21"/>
        <v>#DIV/0!</v>
      </c>
      <c r="W82" s="173">
        <f>'BILANS 2025'!$K83</f>
        <v>0</v>
      </c>
      <c r="X82" s="83">
        <f t="shared" si="22"/>
        <v>0</v>
      </c>
      <c r="Y82" s="659" t="e">
        <f t="shared" si="23"/>
        <v>#DIV/0!</v>
      </c>
    </row>
    <row r="83" spans="1:25">
      <c r="A83" s="12"/>
      <c r="B83" s="188" t="s">
        <v>63</v>
      </c>
      <c r="C83" s="13">
        <f>'BILANS 2022'!$D84</f>
        <v>0</v>
      </c>
      <c r="D83" s="83">
        <f>'BILANS 2023'!D84</f>
        <v>0</v>
      </c>
      <c r="E83" s="83">
        <f t="shared" si="12"/>
        <v>0</v>
      </c>
      <c r="F83" s="604" t="e">
        <f t="shared" si="13"/>
        <v>#DIV/0!</v>
      </c>
      <c r="G83" s="83">
        <f>'BILANS 2024'!D84</f>
        <v>0</v>
      </c>
      <c r="H83" s="83">
        <f t="shared" si="14"/>
        <v>0</v>
      </c>
      <c r="I83" s="604" t="e">
        <f t="shared" si="15"/>
        <v>#DIV/0!</v>
      </c>
      <c r="J83" s="83">
        <f>'BILANS 2025'!D84</f>
        <v>0</v>
      </c>
      <c r="K83" s="83">
        <f t="shared" si="16"/>
        <v>0</v>
      </c>
      <c r="L83" s="604" t="e">
        <f t="shared" si="17"/>
        <v>#DIV/0!</v>
      </c>
      <c r="M83" s="226"/>
      <c r="N83" s="70"/>
      <c r="O83" s="326"/>
      <c r="P83" s="327">
        <f>'BILANS 2022'!$K84</f>
        <v>0</v>
      </c>
      <c r="Q83" s="327">
        <f>'BILANS 2023'!$K84</f>
        <v>0</v>
      </c>
      <c r="R83" s="327">
        <f t="shared" si="18"/>
        <v>0</v>
      </c>
      <c r="S83" s="630" t="e">
        <f t="shared" si="19"/>
        <v>#DIV/0!</v>
      </c>
      <c r="T83" s="327">
        <f>'BILANS 2024'!$K84</f>
        <v>0</v>
      </c>
      <c r="U83" s="83">
        <f t="shared" si="20"/>
        <v>0</v>
      </c>
      <c r="V83" s="604" t="e">
        <f t="shared" si="21"/>
        <v>#DIV/0!</v>
      </c>
      <c r="W83" s="173">
        <f>'BILANS 2025'!$K84</f>
        <v>0</v>
      </c>
      <c r="X83" s="83">
        <f t="shared" si="22"/>
        <v>0</v>
      </c>
      <c r="Y83" s="659" t="e">
        <f t="shared" si="23"/>
        <v>#DIV/0!</v>
      </c>
    </row>
    <row r="84" spans="1:25">
      <c r="A84" s="12"/>
      <c r="B84" s="188" t="s">
        <v>64</v>
      </c>
      <c r="C84" s="13">
        <f>'BILANS 2022'!$D85</f>
        <v>0</v>
      </c>
      <c r="D84" s="83">
        <f>'BILANS 2023'!D85</f>
        <v>0</v>
      </c>
      <c r="E84" s="83">
        <f t="shared" si="12"/>
        <v>0</v>
      </c>
      <c r="F84" s="604" t="e">
        <f t="shared" si="13"/>
        <v>#DIV/0!</v>
      </c>
      <c r="G84" s="83">
        <f>'BILANS 2024'!D85</f>
        <v>0</v>
      </c>
      <c r="H84" s="83">
        <f t="shared" si="14"/>
        <v>0</v>
      </c>
      <c r="I84" s="604" t="e">
        <f t="shared" si="15"/>
        <v>#DIV/0!</v>
      </c>
      <c r="J84" s="83">
        <f>'BILANS 2025'!D85</f>
        <v>0</v>
      </c>
      <c r="K84" s="83">
        <f t="shared" si="16"/>
        <v>0</v>
      </c>
      <c r="L84" s="604" t="e">
        <f t="shared" si="17"/>
        <v>#DIV/0!</v>
      </c>
      <c r="M84" s="226"/>
      <c r="N84" s="70"/>
      <c r="O84" s="326"/>
      <c r="P84" s="327">
        <f>'BILANS 2022'!$K85</f>
        <v>0</v>
      </c>
      <c r="Q84" s="327">
        <f>'BILANS 2023'!$K85</f>
        <v>0</v>
      </c>
      <c r="R84" s="327">
        <f t="shared" si="18"/>
        <v>0</v>
      </c>
      <c r="S84" s="630" t="e">
        <f t="shared" si="19"/>
        <v>#DIV/0!</v>
      </c>
      <c r="T84" s="327">
        <f>'BILANS 2024'!$K85</f>
        <v>0</v>
      </c>
      <c r="U84" s="83">
        <f t="shared" si="20"/>
        <v>0</v>
      </c>
      <c r="V84" s="604" t="e">
        <f t="shared" si="21"/>
        <v>#DIV/0!</v>
      </c>
      <c r="W84" s="173">
        <f>'BILANS 2025'!$K85</f>
        <v>0</v>
      </c>
      <c r="X84" s="83">
        <f t="shared" si="22"/>
        <v>0</v>
      </c>
      <c r="Y84" s="659" t="e">
        <f t="shared" si="23"/>
        <v>#DIV/0!</v>
      </c>
    </row>
    <row r="85" spans="1:25">
      <c r="A85" s="12"/>
      <c r="B85" s="30" t="s">
        <v>110</v>
      </c>
      <c r="C85" s="13">
        <f>'BILANS 2022'!$D86</f>
        <v>0</v>
      </c>
      <c r="D85" s="83">
        <f>'BILANS 2023'!D86</f>
        <v>0</v>
      </c>
      <c r="E85" s="83">
        <f t="shared" si="12"/>
        <v>0</v>
      </c>
      <c r="F85" s="604" t="e">
        <f t="shared" si="13"/>
        <v>#DIV/0!</v>
      </c>
      <c r="G85" s="83">
        <f>'BILANS 2024'!D86</f>
        <v>0</v>
      </c>
      <c r="H85" s="83">
        <f t="shared" si="14"/>
        <v>0</v>
      </c>
      <c r="I85" s="604" t="e">
        <f t="shared" si="15"/>
        <v>#DIV/0!</v>
      </c>
      <c r="J85" s="83">
        <f>'BILANS 2025'!D86</f>
        <v>0</v>
      </c>
      <c r="K85" s="83">
        <f t="shared" si="16"/>
        <v>0</v>
      </c>
      <c r="L85" s="604" t="e">
        <f t="shared" si="17"/>
        <v>#DIV/0!</v>
      </c>
      <c r="M85" s="226"/>
      <c r="N85" s="70"/>
      <c r="O85" s="326"/>
      <c r="P85" s="327">
        <f>'BILANS 2022'!$K86</f>
        <v>0</v>
      </c>
      <c r="Q85" s="327">
        <f>'BILANS 2023'!$K86</f>
        <v>0</v>
      </c>
      <c r="R85" s="327">
        <f t="shared" si="18"/>
        <v>0</v>
      </c>
      <c r="S85" s="630" t="e">
        <f t="shared" si="19"/>
        <v>#DIV/0!</v>
      </c>
      <c r="T85" s="327">
        <f>'BILANS 2024'!$K86</f>
        <v>0</v>
      </c>
      <c r="U85" s="83">
        <f t="shared" si="20"/>
        <v>0</v>
      </c>
      <c r="V85" s="604" t="e">
        <f t="shared" si="21"/>
        <v>#DIV/0!</v>
      </c>
      <c r="W85" s="173">
        <f>'BILANS 2025'!$K86</f>
        <v>0</v>
      </c>
      <c r="X85" s="83">
        <f t="shared" si="22"/>
        <v>0</v>
      </c>
      <c r="Y85" s="659" t="e">
        <f t="shared" si="23"/>
        <v>#DIV/0!</v>
      </c>
    </row>
    <row r="86" spans="1:25">
      <c r="A86" s="12" t="s">
        <v>27</v>
      </c>
      <c r="B86" s="30" t="s">
        <v>111</v>
      </c>
      <c r="C86" s="13">
        <f>'BILANS 2022'!$D87</f>
        <v>48957908.689999998</v>
      </c>
      <c r="D86" s="83">
        <f>'BILANS 2023'!D87</f>
        <v>49000000</v>
      </c>
      <c r="E86" s="83">
        <f t="shared" si="12"/>
        <v>42091.310000002384</v>
      </c>
      <c r="F86" s="604">
        <f t="shared" si="13"/>
        <v>8.5974485279841691E-4</v>
      </c>
      <c r="G86" s="83">
        <f>'BILANS 2024'!D87</f>
        <v>54000000</v>
      </c>
      <c r="H86" s="83">
        <f t="shared" si="14"/>
        <v>5000000</v>
      </c>
      <c r="I86" s="604">
        <f t="shared" si="15"/>
        <v>0.10204081632653061</v>
      </c>
      <c r="J86" s="83">
        <f>'BILANS 2025'!D87</f>
        <v>57500000</v>
      </c>
      <c r="K86" s="83">
        <f t="shared" si="16"/>
        <v>3500000</v>
      </c>
      <c r="L86" s="604">
        <f t="shared" si="17"/>
        <v>6.4814814814814811E-2</v>
      </c>
      <c r="M86" s="226"/>
      <c r="N86" s="70"/>
      <c r="O86" s="326"/>
      <c r="P86" s="327">
        <f>'BILANS 2022'!$K87</f>
        <v>0</v>
      </c>
      <c r="Q86" s="327">
        <f>'BILANS 2023'!$K87</f>
        <v>0</v>
      </c>
      <c r="R86" s="327">
        <f t="shared" si="18"/>
        <v>0</v>
      </c>
      <c r="S86" s="630" t="e">
        <f t="shared" si="19"/>
        <v>#DIV/0!</v>
      </c>
      <c r="T86" s="327">
        <f>'BILANS 2024'!$K87</f>
        <v>0</v>
      </c>
      <c r="U86" s="83">
        <f t="shared" si="20"/>
        <v>0</v>
      </c>
      <c r="V86" s="604" t="e">
        <f t="shared" si="21"/>
        <v>#DIV/0!</v>
      </c>
      <c r="W86" s="173">
        <f>'BILANS 2025'!$K87</f>
        <v>0</v>
      </c>
      <c r="X86" s="83">
        <f t="shared" si="22"/>
        <v>0</v>
      </c>
      <c r="Y86" s="659" t="e">
        <f t="shared" si="23"/>
        <v>#DIV/0!</v>
      </c>
    </row>
    <row r="87" spans="1:25">
      <c r="A87" s="12"/>
      <c r="B87" s="30" t="s">
        <v>112</v>
      </c>
      <c r="C87" s="13">
        <f>'BILANS 2022'!$D88</f>
        <v>24823282.969999999</v>
      </c>
      <c r="D87" s="83">
        <f>'BILANS 2023'!D88</f>
        <v>36000000</v>
      </c>
      <c r="E87" s="83">
        <f t="shared" si="12"/>
        <v>11176717.030000001</v>
      </c>
      <c r="F87" s="604">
        <f t="shared" si="13"/>
        <v>0.4502513645559108</v>
      </c>
      <c r="G87" s="83">
        <f>'BILANS 2024'!D88</f>
        <v>39000000</v>
      </c>
      <c r="H87" s="83">
        <f t="shared" si="14"/>
        <v>3000000</v>
      </c>
      <c r="I87" s="604">
        <f t="shared" si="15"/>
        <v>8.3333333333333329E-2</v>
      </c>
      <c r="J87" s="83">
        <f>'BILANS 2025'!D88</f>
        <v>40000000</v>
      </c>
      <c r="K87" s="83">
        <f t="shared" si="16"/>
        <v>1000000</v>
      </c>
      <c r="L87" s="604">
        <f t="shared" si="17"/>
        <v>2.564102564102564E-2</v>
      </c>
      <c r="M87" s="226"/>
      <c r="N87" s="70"/>
      <c r="O87" s="326"/>
      <c r="P87" s="327">
        <f>'BILANS 2022'!$K88</f>
        <v>0</v>
      </c>
      <c r="Q87" s="327">
        <f>'BILANS 2023'!$K88</f>
        <v>0</v>
      </c>
      <c r="R87" s="327">
        <f t="shared" si="18"/>
        <v>0</v>
      </c>
      <c r="S87" s="630" t="e">
        <f t="shared" si="19"/>
        <v>#DIV/0!</v>
      </c>
      <c r="T87" s="327">
        <f>'BILANS 2024'!$K88</f>
        <v>0</v>
      </c>
      <c r="U87" s="83">
        <f t="shared" si="20"/>
        <v>0</v>
      </c>
      <c r="V87" s="604" t="e">
        <f t="shared" si="21"/>
        <v>#DIV/0!</v>
      </c>
      <c r="W87" s="173">
        <f>'BILANS 2025'!$K88</f>
        <v>0</v>
      </c>
      <c r="X87" s="83">
        <f t="shared" si="22"/>
        <v>0</v>
      </c>
      <c r="Y87" s="659" t="e">
        <f t="shared" si="23"/>
        <v>#DIV/0!</v>
      </c>
    </row>
    <row r="88" spans="1:25">
      <c r="A88" s="12"/>
      <c r="B88" s="188" t="s">
        <v>113</v>
      </c>
      <c r="C88" s="13">
        <f>'BILANS 2022'!$D89</f>
        <v>24134625.719999999</v>
      </c>
      <c r="D88" s="83">
        <f>'BILANS 2023'!D89</f>
        <v>13000000</v>
      </c>
      <c r="E88" s="83">
        <f t="shared" si="12"/>
        <v>-11134625.719999999</v>
      </c>
      <c r="F88" s="604">
        <f t="shared" si="13"/>
        <v>-0.46135481234220688</v>
      </c>
      <c r="G88" s="83">
        <f>'BILANS 2024'!D89</f>
        <v>15000000</v>
      </c>
      <c r="H88" s="83">
        <f t="shared" si="14"/>
        <v>2000000</v>
      </c>
      <c r="I88" s="604">
        <f t="shared" si="15"/>
        <v>0.15384615384615385</v>
      </c>
      <c r="J88" s="83">
        <f>'BILANS 2025'!D89</f>
        <v>17500000</v>
      </c>
      <c r="K88" s="83">
        <f t="shared" si="16"/>
        <v>2500000</v>
      </c>
      <c r="L88" s="604">
        <f t="shared" si="17"/>
        <v>0.16666666666666666</v>
      </c>
      <c r="M88" s="226"/>
      <c r="N88" s="70"/>
      <c r="O88" s="326"/>
      <c r="P88" s="327">
        <f>'BILANS 2022'!$K89</f>
        <v>0</v>
      </c>
      <c r="Q88" s="327">
        <f>'BILANS 2023'!$K89</f>
        <v>0</v>
      </c>
      <c r="R88" s="327">
        <f t="shared" si="18"/>
        <v>0</v>
      </c>
      <c r="S88" s="630" t="e">
        <f t="shared" si="19"/>
        <v>#DIV/0!</v>
      </c>
      <c r="T88" s="327">
        <f>'BILANS 2024'!$K89</f>
        <v>0</v>
      </c>
      <c r="U88" s="83">
        <f t="shared" si="20"/>
        <v>0</v>
      </c>
      <c r="V88" s="604" t="e">
        <f t="shared" si="21"/>
        <v>#DIV/0!</v>
      </c>
      <c r="W88" s="173">
        <f>'BILANS 2025'!$K89</f>
        <v>0</v>
      </c>
      <c r="X88" s="83">
        <f t="shared" si="22"/>
        <v>0</v>
      </c>
      <c r="Y88" s="659" t="e">
        <f t="shared" si="23"/>
        <v>#DIV/0!</v>
      </c>
    </row>
    <row r="89" spans="1:25">
      <c r="A89" s="12"/>
      <c r="B89" s="188" t="s">
        <v>114</v>
      </c>
      <c r="C89" s="13">
        <f>'BILANS 2022'!$D90</f>
        <v>0</v>
      </c>
      <c r="D89" s="83">
        <f>'BILANS 2023'!D90</f>
        <v>0</v>
      </c>
      <c r="E89" s="83">
        <f t="shared" si="12"/>
        <v>0</v>
      </c>
      <c r="F89" s="604" t="e">
        <f t="shared" si="13"/>
        <v>#DIV/0!</v>
      </c>
      <c r="G89" s="83">
        <f>'BILANS 2024'!D90</f>
        <v>0</v>
      </c>
      <c r="H89" s="83">
        <f t="shared" si="14"/>
        <v>0</v>
      </c>
      <c r="I89" s="604" t="e">
        <f t="shared" si="15"/>
        <v>#DIV/0!</v>
      </c>
      <c r="J89" s="83">
        <f>'BILANS 2025'!D90</f>
        <v>0</v>
      </c>
      <c r="K89" s="83">
        <f t="shared" si="16"/>
        <v>0</v>
      </c>
      <c r="L89" s="604" t="e">
        <f t="shared" si="17"/>
        <v>#DIV/0!</v>
      </c>
      <c r="M89" s="226"/>
      <c r="N89" s="70"/>
      <c r="O89" s="326"/>
      <c r="P89" s="327">
        <f>'BILANS 2022'!$K90</f>
        <v>0</v>
      </c>
      <c r="Q89" s="327">
        <f>'BILANS 2023'!$K90</f>
        <v>0</v>
      </c>
      <c r="R89" s="327">
        <f t="shared" si="18"/>
        <v>0</v>
      </c>
      <c r="S89" s="630" t="e">
        <f t="shared" si="19"/>
        <v>#DIV/0!</v>
      </c>
      <c r="T89" s="327">
        <f>'BILANS 2024'!$K90</f>
        <v>0</v>
      </c>
      <c r="U89" s="83">
        <f t="shared" si="20"/>
        <v>0</v>
      </c>
      <c r="V89" s="604" t="e">
        <f t="shared" si="21"/>
        <v>#DIV/0!</v>
      </c>
      <c r="W89" s="173">
        <f>'BILANS 2025'!$K90</f>
        <v>0</v>
      </c>
      <c r="X89" s="83">
        <f t="shared" si="22"/>
        <v>0</v>
      </c>
      <c r="Y89" s="659" t="e">
        <f t="shared" si="23"/>
        <v>#DIV/0!</v>
      </c>
    </row>
    <row r="90" spans="1:25" ht="15.75" thickBot="1">
      <c r="A90" s="71">
        <v>2</v>
      </c>
      <c r="B90" s="187" t="s">
        <v>115</v>
      </c>
      <c r="C90" s="25">
        <f>'BILANS 2022'!$D91</f>
        <v>0</v>
      </c>
      <c r="D90" s="86">
        <f>'BILANS 2023'!D91</f>
        <v>0</v>
      </c>
      <c r="E90" s="86">
        <f t="shared" si="12"/>
        <v>0</v>
      </c>
      <c r="F90" s="607" t="e">
        <f t="shared" si="13"/>
        <v>#DIV/0!</v>
      </c>
      <c r="G90" s="86">
        <f>'BILANS 2024'!D91</f>
        <v>0</v>
      </c>
      <c r="H90" s="86">
        <f t="shared" si="14"/>
        <v>0</v>
      </c>
      <c r="I90" s="607" t="e">
        <f t="shared" si="15"/>
        <v>#DIV/0!</v>
      </c>
      <c r="J90" s="86">
        <f>'BILANS 2025'!D91</f>
        <v>0</v>
      </c>
      <c r="K90" s="86">
        <f t="shared" si="16"/>
        <v>0</v>
      </c>
      <c r="L90" s="607" t="e">
        <f t="shared" si="17"/>
        <v>#DIV/0!</v>
      </c>
      <c r="M90" s="227"/>
      <c r="N90" s="30"/>
      <c r="O90" s="326"/>
      <c r="P90" s="327">
        <f>'BILANS 2022'!$K91</f>
        <v>0</v>
      </c>
      <c r="Q90" s="327">
        <f>'BILANS 2023'!$K91</f>
        <v>0</v>
      </c>
      <c r="R90" s="327">
        <f t="shared" si="18"/>
        <v>0</v>
      </c>
      <c r="S90" s="630" t="e">
        <f t="shared" si="19"/>
        <v>#DIV/0!</v>
      </c>
      <c r="T90" s="327">
        <f>'BILANS 2024'!$K91</f>
        <v>0</v>
      </c>
      <c r="U90" s="83">
        <f t="shared" si="20"/>
        <v>0</v>
      </c>
      <c r="V90" s="604" t="e">
        <f t="shared" si="21"/>
        <v>#DIV/0!</v>
      </c>
      <c r="W90" s="173">
        <f>'BILANS 2025'!$K91</f>
        <v>0</v>
      </c>
      <c r="X90" s="83">
        <f t="shared" si="22"/>
        <v>0</v>
      </c>
      <c r="Y90" s="659" t="e">
        <f t="shared" si="23"/>
        <v>#DIV/0!</v>
      </c>
    </row>
    <row r="91" spans="1:25" ht="15.75" thickBot="1">
      <c r="A91" s="8" t="s">
        <v>20</v>
      </c>
      <c r="B91" s="28" t="s">
        <v>116</v>
      </c>
      <c r="C91" s="72">
        <f>'BILANS 2022'!$D92</f>
        <v>131622.92000000001</v>
      </c>
      <c r="D91" s="91">
        <f>'BILANS 2023'!D92</f>
        <v>130000</v>
      </c>
      <c r="E91" s="91">
        <f t="shared" si="12"/>
        <v>-1622.9200000000128</v>
      </c>
      <c r="F91" s="618">
        <f t="shared" si="13"/>
        <v>-1.2330071388782535E-2</v>
      </c>
      <c r="G91" s="91">
        <f>'BILANS 2024'!D92</f>
        <v>135000</v>
      </c>
      <c r="H91" s="91">
        <f t="shared" si="14"/>
        <v>5000</v>
      </c>
      <c r="I91" s="618">
        <f t="shared" si="15"/>
        <v>3.8461538461538464E-2</v>
      </c>
      <c r="J91" s="91">
        <f>'BILANS 2025'!D92</f>
        <v>130000</v>
      </c>
      <c r="K91" s="91">
        <f t="shared" si="16"/>
        <v>-5000</v>
      </c>
      <c r="L91" s="618">
        <f t="shared" si="17"/>
        <v>-3.7037037037037035E-2</v>
      </c>
      <c r="M91" s="227"/>
      <c r="N91" s="30"/>
      <c r="O91" s="326"/>
      <c r="P91" s="327">
        <f>'BILANS 2022'!$K92</f>
        <v>0</v>
      </c>
      <c r="Q91" s="327">
        <f>'BILANS 2023'!$K92</f>
        <v>0</v>
      </c>
      <c r="R91" s="327">
        <f t="shared" si="18"/>
        <v>0</v>
      </c>
      <c r="S91" s="630" t="e">
        <f t="shared" si="19"/>
        <v>#DIV/0!</v>
      </c>
      <c r="T91" s="327">
        <f>'BILANS 2024'!$K92</f>
        <v>0</v>
      </c>
      <c r="U91" s="83">
        <f t="shared" si="20"/>
        <v>0</v>
      </c>
      <c r="V91" s="604" t="e">
        <f t="shared" si="21"/>
        <v>#DIV/0!</v>
      </c>
      <c r="W91" s="173">
        <f>'BILANS 2025'!$K92</f>
        <v>0</v>
      </c>
      <c r="X91" s="83">
        <f t="shared" si="22"/>
        <v>0</v>
      </c>
      <c r="Y91" s="659" t="e">
        <f t="shared" si="23"/>
        <v>#DIV/0!</v>
      </c>
    </row>
    <row r="92" spans="1:25" ht="15.75" thickBot="1">
      <c r="A92" s="8" t="s">
        <v>247</v>
      </c>
      <c r="B92" s="266" t="s">
        <v>248</v>
      </c>
      <c r="C92" s="72">
        <f>'BILANS 2022'!$D93</f>
        <v>0</v>
      </c>
      <c r="D92" s="91">
        <f>'BILANS 2023'!D93</f>
        <v>0</v>
      </c>
      <c r="E92" s="91">
        <f t="shared" si="12"/>
        <v>0</v>
      </c>
      <c r="F92" s="618" t="e">
        <f t="shared" si="13"/>
        <v>#DIV/0!</v>
      </c>
      <c r="G92" s="91">
        <f>'BILANS 2024'!D93</f>
        <v>0</v>
      </c>
      <c r="H92" s="91">
        <f t="shared" si="14"/>
        <v>0</v>
      </c>
      <c r="I92" s="618" t="e">
        <f t="shared" si="15"/>
        <v>#DIV/0!</v>
      </c>
      <c r="J92" s="91">
        <f>'BILANS 2025'!D93</f>
        <v>0</v>
      </c>
      <c r="K92" s="91">
        <f t="shared" si="16"/>
        <v>0</v>
      </c>
      <c r="L92" s="618" t="e">
        <f t="shared" si="17"/>
        <v>#DIV/0!</v>
      </c>
      <c r="M92" s="227"/>
      <c r="N92" s="30"/>
      <c r="O92" s="326"/>
      <c r="P92" s="327">
        <f>'BILANS 2022'!$K93</f>
        <v>0</v>
      </c>
      <c r="Q92" s="327">
        <f>'BILANS 2023'!$K93</f>
        <v>0</v>
      </c>
      <c r="R92" s="327">
        <f t="shared" si="18"/>
        <v>0</v>
      </c>
      <c r="S92" s="630" t="e">
        <f t="shared" si="19"/>
        <v>#DIV/0!</v>
      </c>
      <c r="T92" s="327">
        <f>'BILANS 2024'!$K93</f>
        <v>0</v>
      </c>
      <c r="U92" s="83">
        <f t="shared" si="20"/>
        <v>0</v>
      </c>
      <c r="V92" s="604" t="e">
        <f t="shared" si="21"/>
        <v>#DIV/0!</v>
      </c>
      <c r="W92" s="173">
        <f>'BILANS 2025'!$K93</f>
        <v>0</v>
      </c>
      <c r="X92" s="83">
        <f t="shared" si="22"/>
        <v>0</v>
      </c>
      <c r="Y92" s="659" t="e">
        <f t="shared" si="23"/>
        <v>#DIV/0!</v>
      </c>
    </row>
    <row r="93" spans="1:25" ht="15.75" thickBot="1">
      <c r="A93" s="8" t="s">
        <v>249</v>
      </c>
      <c r="B93" s="266" t="s">
        <v>250</v>
      </c>
      <c r="C93" s="72">
        <f>'BILANS 2022'!$D94</f>
        <v>0</v>
      </c>
      <c r="D93" s="91">
        <f>'BILANS 2023'!D94</f>
        <v>0</v>
      </c>
      <c r="E93" s="91">
        <f t="shared" si="12"/>
        <v>0</v>
      </c>
      <c r="F93" s="618" t="e">
        <f t="shared" si="13"/>
        <v>#DIV/0!</v>
      </c>
      <c r="G93" s="91">
        <f>'BILANS 2024'!D94</f>
        <v>0</v>
      </c>
      <c r="H93" s="91">
        <f t="shared" si="14"/>
        <v>0</v>
      </c>
      <c r="I93" s="618" t="e">
        <f t="shared" si="15"/>
        <v>#DIV/0!</v>
      </c>
      <c r="J93" s="91">
        <f>'BILANS 2025'!D94</f>
        <v>0</v>
      </c>
      <c r="K93" s="91">
        <f t="shared" si="16"/>
        <v>0</v>
      </c>
      <c r="L93" s="618" t="e">
        <f t="shared" si="17"/>
        <v>#DIV/0!</v>
      </c>
      <c r="M93" s="227"/>
      <c r="N93" s="30"/>
      <c r="O93" s="339"/>
      <c r="P93" s="327">
        <f>'BILANS 2022'!$K94</f>
        <v>0</v>
      </c>
      <c r="Q93" s="329">
        <f>'BILANS 2023'!$K94</f>
        <v>0</v>
      </c>
      <c r="R93" s="595">
        <f t="shared" si="18"/>
        <v>0</v>
      </c>
      <c r="S93" s="637" t="e">
        <f t="shared" si="19"/>
        <v>#DIV/0!</v>
      </c>
      <c r="T93" s="327">
        <f>'BILANS 2024'!$K94</f>
        <v>0</v>
      </c>
      <c r="U93" s="83">
        <f t="shared" si="20"/>
        <v>0</v>
      </c>
      <c r="V93" s="604" t="e">
        <f t="shared" si="21"/>
        <v>#DIV/0!</v>
      </c>
      <c r="W93" s="173">
        <f>'BILANS 2025'!$K94</f>
        <v>0</v>
      </c>
      <c r="X93" s="83">
        <f t="shared" si="22"/>
        <v>0</v>
      </c>
      <c r="Y93" s="659" t="e">
        <f t="shared" si="23"/>
        <v>#DIV/0!</v>
      </c>
    </row>
    <row r="94" spans="1:25" ht="30.75" thickBot="1">
      <c r="A94" s="152"/>
      <c r="B94" s="78" t="s">
        <v>203</v>
      </c>
      <c r="C94" s="79">
        <f>'BILANS 2022'!$D95</f>
        <v>80810092.530000001</v>
      </c>
      <c r="D94" s="92">
        <f>'BILANS 2023'!D95</f>
        <v>88204771.659999996</v>
      </c>
      <c r="E94" s="92">
        <f t="shared" si="12"/>
        <v>7394679.1299999952</v>
      </c>
      <c r="F94" s="619">
        <f t="shared" si="13"/>
        <v>9.1506876164691789E-2</v>
      </c>
      <c r="G94" s="92">
        <f>'BILANS 2024'!D95</f>
        <v>93488364.829999998</v>
      </c>
      <c r="H94" s="92">
        <f t="shared" si="14"/>
        <v>5283593.1700000018</v>
      </c>
      <c r="I94" s="619">
        <f t="shared" si="15"/>
        <v>5.9901443771845961E-2</v>
      </c>
      <c r="J94" s="92">
        <f>'BILANS 2025'!D95</f>
        <v>97393589.829999998</v>
      </c>
      <c r="K94" s="92">
        <f t="shared" si="16"/>
        <v>3905225</v>
      </c>
      <c r="L94" s="619">
        <f t="shared" si="17"/>
        <v>4.1772310459181665E-2</v>
      </c>
      <c r="M94" s="227"/>
      <c r="N94" s="152"/>
      <c r="O94" s="78" t="s">
        <v>204</v>
      </c>
      <c r="P94" s="340">
        <f>'BILANS 2022'!$K95</f>
        <v>80810092.530000001</v>
      </c>
      <c r="Q94" s="340">
        <f>'BILANS 2023'!$K95</f>
        <v>88204771.659999996</v>
      </c>
      <c r="R94" s="340">
        <f t="shared" si="18"/>
        <v>7394679.1299999952</v>
      </c>
      <c r="S94" s="638">
        <f t="shared" si="19"/>
        <v>9.1506876164691789E-2</v>
      </c>
      <c r="T94" s="340">
        <f>'BILANS 2024'!$K95</f>
        <v>93488364.829999998</v>
      </c>
      <c r="U94" s="92">
        <f t="shared" si="20"/>
        <v>5283593.1700000018</v>
      </c>
      <c r="V94" s="619">
        <f t="shared" si="21"/>
        <v>5.9901443771845961E-2</v>
      </c>
      <c r="W94" s="341">
        <f>'BILANS 2025'!$K95</f>
        <v>97393589.829999998</v>
      </c>
      <c r="X94" s="92">
        <f t="shared" si="22"/>
        <v>3905225</v>
      </c>
      <c r="Y94" s="666">
        <f t="shared" si="23"/>
        <v>4.1772310459181665E-2</v>
      </c>
    </row>
    <row r="95" spans="1:25">
      <c r="A95" s="224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52"/>
      <c r="O95" s="1"/>
      <c r="P95" s="41"/>
      <c r="Q95" s="41"/>
      <c r="R95" s="41"/>
      <c r="S95" s="41"/>
      <c r="T95" s="41"/>
      <c r="U95" s="41"/>
      <c r="V95" s="41"/>
      <c r="W95" s="41"/>
      <c r="X95" s="41"/>
      <c r="Y95" s="41"/>
    </row>
    <row r="96" spans="1:25">
      <c r="A96" s="152"/>
      <c r="B96" s="2"/>
      <c r="C96" s="65">
        <f>C94-P94</f>
        <v>0</v>
      </c>
      <c r="D96" s="65">
        <f>D94-Q94</f>
        <v>0</v>
      </c>
      <c r="E96" s="65"/>
      <c r="F96" s="65"/>
      <c r="G96" s="65">
        <f>G94-T94</f>
        <v>0</v>
      </c>
      <c r="H96" s="65"/>
      <c r="I96" s="65"/>
      <c r="J96" s="65">
        <f t="shared" ref="J96" si="24">J94-W94</f>
        <v>0</v>
      </c>
      <c r="K96" s="65"/>
      <c r="L96" s="65"/>
      <c r="M96" s="2"/>
      <c r="N96" s="15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ht="15" customHeight="1">
      <c r="A97" s="686" t="s">
        <v>117</v>
      </c>
      <c r="B97" s="686"/>
      <c r="C97" s="686"/>
      <c r="D97" s="42"/>
      <c r="E97" s="42"/>
      <c r="F97" s="42"/>
      <c r="G97" s="42"/>
      <c r="H97" s="42"/>
      <c r="I97" s="42"/>
      <c r="J97" s="42"/>
      <c r="K97" s="42"/>
      <c r="L97" s="42"/>
      <c r="M97" s="42"/>
      <c r="O97" s="686" t="s">
        <v>118</v>
      </c>
      <c r="P97" s="686"/>
      <c r="Q97" s="686"/>
      <c r="R97" s="74"/>
      <c r="S97" s="74"/>
      <c r="T97" s="74"/>
      <c r="U97" s="74"/>
      <c r="V97" s="74"/>
      <c r="W97" s="74"/>
      <c r="X97" s="74"/>
      <c r="Y97" s="74"/>
    </row>
    <row r="98" spans="1:25" ht="15" customHeight="1">
      <c r="A98" s="685" t="s">
        <v>207</v>
      </c>
      <c r="B98" s="685"/>
      <c r="C98" s="685"/>
      <c r="D98" s="65"/>
      <c r="E98" s="65"/>
      <c r="F98" s="65"/>
      <c r="G98" s="65"/>
      <c r="H98" s="65"/>
      <c r="I98" s="65"/>
      <c r="J98" s="65"/>
      <c r="K98" s="65"/>
      <c r="L98" s="65"/>
      <c r="M98" s="65"/>
      <c r="O98" s="685" t="s">
        <v>119</v>
      </c>
      <c r="P98" s="685"/>
      <c r="Q98" s="685"/>
      <c r="R98" s="73"/>
      <c r="S98" s="73"/>
      <c r="T98" s="73"/>
      <c r="U98" s="73"/>
      <c r="V98" s="73"/>
      <c r="W98" s="73"/>
      <c r="X98" s="73"/>
      <c r="Y98" s="73"/>
    </row>
    <row r="102" spans="1:25" ht="15.75" customHeight="1">
      <c r="B102" s="349" t="s">
        <v>284</v>
      </c>
      <c r="C102" s="411">
        <f>C104/C105</f>
        <v>2.5521758123542664E-2</v>
      </c>
      <c r="D102" s="411">
        <f t="shared" ref="D102:J102" si="25">D104/D105</f>
        <v>1.9346106100716413E-2</v>
      </c>
      <c r="E102" s="411"/>
      <c r="F102" s="411"/>
      <c r="G102" s="411">
        <f t="shared" si="25"/>
        <v>1.9934496887893265E-2</v>
      </c>
      <c r="H102" s="411"/>
      <c r="I102" s="411"/>
      <c r="J102" s="411">
        <f t="shared" si="25"/>
        <v>1.9420040953827863E-2</v>
      </c>
      <c r="K102" s="411"/>
      <c r="L102" s="411"/>
    </row>
    <row r="103" spans="1:25" ht="15.75" customHeight="1"/>
    <row r="104" spans="1:25">
      <c r="B104" s="410" t="s">
        <v>285</v>
      </c>
      <c r="C104" s="378">
        <f>'RZiS prognozy-ZEST'!C34</f>
        <v>6475941.3000000007</v>
      </c>
      <c r="D104" s="378">
        <f>'RZiS prognozy-ZEST'!D34</f>
        <v>5174000</v>
      </c>
      <c r="E104" s="378"/>
      <c r="F104" s="378"/>
      <c r="G104" s="378">
        <f>'RZiS prognozy-ZEST'!G34</f>
        <v>5624000</v>
      </c>
      <c r="H104" s="378"/>
      <c r="I104" s="378"/>
      <c r="J104" s="378">
        <f>'RZiS prognozy-ZEST'!J34</f>
        <v>5880000</v>
      </c>
      <c r="K104" s="378"/>
      <c r="L104" s="378"/>
    </row>
    <row r="105" spans="1:25" ht="30">
      <c r="B105" s="383" t="s">
        <v>286</v>
      </c>
      <c r="C105" s="378">
        <f>'RZiS prognozy-ZEST'!C9+'RZiS prognozy-ZEST'!C12+'RZiS prognozy-ZEST'!C25</f>
        <v>253741974.53999999</v>
      </c>
      <c r="D105" s="378">
        <f>'RZiS prognozy-ZEST'!D9+'RZiS prognozy-ZEST'!D12+'RZiS prognozy-ZEST'!D25</f>
        <v>267444000</v>
      </c>
      <c r="E105" s="378"/>
      <c r="F105" s="378"/>
      <c r="G105" s="378">
        <f>'RZiS prognozy-ZEST'!G9+'RZiS prognozy-ZEST'!G12+'RZiS prognozy-ZEST'!G25</f>
        <v>282124000</v>
      </c>
      <c r="H105" s="378"/>
      <c r="I105" s="378"/>
      <c r="J105" s="378">
        <f>'RZiS prognozy-ZEST'!J9+'RZiS prognozy-ZEST'!J12+'RZiS prognozy-ZEST'!J25</f>
        <v>302780000</v>
      </c>
      <c r="K105" s="378"/>
      <c r="L105" s="378"/>
    </row>
    <row r="107" spans="1:25" ht="15" customHeight="1">
      <c r="B107" s="412" t="s">
        <v>287</v>
      </c>
      <c r="D107" s="411">
        <f>D109/D110</f>
        <v>6.7023690811392186E-2</v>
      </c>
      <c r="E107" s="411"/>
      <c r="F107" s="411"/>
      <c r="G107" s="411">
        <f t="shared" ref="G107:J107" si="26">G109/G110</f>
        <v>6.6749907202287184E-2</v>
      </c>
      <c r="H107" s="411"/>
      <c r="I107" s="411"/>
      <c r="J107" s="411">
        <f t="shared" si="26"/>
        <v>6.6166547919611504E-2</v>
      </c>
      <c r="K107" s="411"/>
      <c r="L107" s="411"/>
    </row>
    <row r="108" spans="1:25" ht="15" customHeight="1">
      <c r="B108" s="75"/>
    </row>
    <row r="109" spans="1:25">
      <c r="B109" s="413" t="s">
        <v>288</v>
      </c>
      <c r="C109" s="350">
        <f>P17</f>
        <v>6506172.1299999999</v>
      </c>
      <c r="D109" s="350">
        <f>Q17</f>
        <v>5664000</v>
      </c>
      <c r="E109" s="350"/>
      <c r="F109" s="350"/>
      <c r="G109" s="350">
        <f>T17</f>
        <v>6064000</v>
      </c>
      <c r="H109" s="350"/>
      <c r="I109" s="350"/>
      <c r="J109" s="350">
        <f>W17</f>
        <v>6315000</v>
      </c>
      <c r="K109" s="350"/>
      <c r="L109" s="350"/>
    </row>
    <row r="110" spans="1:25">
      <c r="B110" s="43" t="s">
        <v>289</v>
      </c>
      <c r="D110" s="350">
        <f>(C94+D94)/2</f>
        <v>84507432.094999999</v>
      </c>
      <c r="E110" s="350"/>
      <c r="F110" s="350"/>
      <c r="G110" s="350">
        <f>(D94+G94)/2</f>
        <v>90846568.245000005</v>
      </c>
      <c r="H110" s="350"/>
      <c r="I110" s="350"/>
      <c r="J110" s="350">
        <f t="shared" ref="J110" si="27">(G94+J94)/2</f>
        <v>95440977.329999998</v>
      </c>
      <c r="K110" s="350"/>
      <c r="L110" s="350"/>
    </row>
    <row r="113" spans="1:1034" s="345" customFormat="1">
      <c r="A113" s="342"/>
      <c r="B113" s="349" t="s">
        <v>282</v>
      </c>
      <c r="C113" s="344">
        <f>C114/C115</f>
        <v>1.4866639893906677</v>
      </c>
      <c r="D113" s="344">
        <f>D114/D115</f>
        <v>1.519719553601093</v>
      </c>
      <c r="E113" s="344"/>
      <c r="F113" s="344"/>
      <c r="G113" s="344">
        <f>G114/G115</f>
        <v>1.6147810241459757</v>
      </c>
      <c r="H113" s="344"/>
      <c r="I113" s="344"/>
      <c r="J113" s="344">
        <f>J114/J115</f>
        <v>1.7152974377652004</v>
      </c>
      <c r="K113" s="344"/>
      <c r="L113" s="344"/>
      <c r="M113" s="343"/>
      <c r="N113" s="342"/>
      <c r="O113" s="343"/>
      <c r="P113" s="343"/>
      <c r="Q113" s="343"/>
      <c r="R113" s="343"/>
      <c r="S113" s="343"/>
      <c r="T113" s="343"/>
      <c r="U113" s="343"/>
      <c r="V113" s="343"/>
      <c r="W113" s="343"/>
      <c r="X113" s="343"/>
      <c r="Y113" s="343"/>
      <c r="Z113" s="343"/>
      <c r="AA113" s="343"/>
      <c r="AB113" s="343"/>
      <c r="AC113" s="343"/>
      <c r="AD113" s="343"/>
      <c r="AE113" s="343"/>
      <c r="AF113" s="343"/>
      <c r="AG113" s="343"/>
      <c r="AH113" s="343"/>
      <c r="AI113" s="343"/>
      <c r="AJ113" s="343"/>
      <c r="AK113" s="343"/>
      <c r="AL113" s="343"/>
      <c r="AM113" s="343"/>
      <c r="AN113" s="343"/>
      <c r="AO113" s="343"/>
      <c r="AP113" s="343"/>
      <c r="AQ113" s="343"/>
      <c r="AR113" s="343"/>
      <c r="AS113" s="343"/>
      <c r="AT113" s="343"/>
      <c r="AU113" s="343"/>
      <c r="AV113" s="343"/>
      <c r="AW113" s="343"/>
      <c r="AX113" s="343"/>
      <c r="AY113" s="343"/>
      <c r="AZ113" s="343"/>
      <c r="BA113" s="343"/>
      <c r="BB113" s="343"/>
      <c r="BC113" s="343"/>
      <c r="BD113" s="343"/>
      <c r="BE113" s="343"/>
      <c r="BF113" s="343"/>
      <c r="BG113" s="343"/>
      <c r="BH113" s="343"/>
      <c r="BI113" s="343"/>
      <c r="BJ113" s="343"/>
      <c r="BK113" s="343"/>
      <c r="BL113" s="343"/>
      <c r="BM113" s="343"/>
      <c r="BN113" s="343"/>
      <c r="BO113" s="343"/>
      <c r="BP113" s="343"/>
      <c r="BQ113" s="343"/>
      <c r="BR113" s="343"/>
      <c r="BS113" s="343"/>
      <c r="BT113" s="343"/>
      <c r="BU113" s="343"/>
      <c r="BV113" s="343"/>
      <c r="BW113" s="343"/>
      <c r="BX113" s="343"/>
      <c r="BY113" s="343"/>
      <c r="BZ113" s="343"/>
      <c r="CA113" s="343"/>
      <c r="CB113" s="343"/>
      <c r="CC113" s="343"/>
      <c r="CD113" s="343"/>
      <c r="CE113" s="343"/>
      <c r="CF113" s="343"/>
      <c r="CG113" s="343"/>
      <c r="CH113" s="343"/>
      <c r="CI113" s="343"/>
      <c r="CJ113" s="343"/>
      <c r="CK113" s="343"/>
      <c r="CL113" s="343"/>
      <c r="CM113" s="343"/>
      <c r="CN113" s="343"/>
      <c r="CO113" s="343"/>
      <c r="CP113" s="343"/>
      <c r="CQ113" s="343"/>
      <c r="CR113" s="343"/>
      <c r="CS113" s="343"/>
      <c r="CT113" s="343"/>
      <c r="CU113" s="343"/>
      <c r="CV113" s="343"/>
      <c r="CW113" s="343"/>
      <c r="CX113" s="343"/>
      <c r="CY113" s="343"/>
      <c r="CZ113" s="343"/>
      <c r="DA113" s="343"/>
      <c r="DB113" s="343"/>
      <c r="DC113" s="343"/>
      <c r="DD113" s="343"/>
      <c r="DE113" s="343"/>
      <c r="DF113" s="343"/>
      <c r="DG113" s="343"/>
      <c r="DH113" s="343"/>
      <c r="DI113" s="343"/>
      <c r="DJ113" s="343"/>
      <c r="DK113" s="343"/>
      <c r="DL113" s="343"/>
      <c r="DM113" s="343"/>
      <c r="DN113" s="343"/>
      <c r="DO113" s="343"/>
      <c r="DP113" s="343"/>
      <c r="DQ113" s="343"/>
      <c r="DR113" s="343"/>
      <c r="DS113" s="343"/>
      <c r="DT113" s="343"/>
      <c r="DU113" s="343"/>
      <c r="DV113" s="343"/>
      <c r="DW113" s="343"/>
      <c r="DX113" s="343"/>
      <c r="DY113" s="343"/>
      <c r="DZ113" s="343"/>
      <c r="EA113" s="343"/>
      <c r="EB113" s="343"/>
      <c r="EC113" s="343"/>
      <c r="ED113" s="343"/>
      <c r="EE113" s="343"/>
      <c r="EF113" s="343"/>
      <c r="EG113" s="343"/>
      <c r="EH113" s="343"/>
      <c r="EI113" s="343"/>
      <c r="EJ113" s="343"/>
      <c r="EK113" s="343"/>
      <c r="EL113" s="343"/>
      <c r="EM113" s="343"/>
      <c r="EN113" s="343"/>
      <c r="EO113" s="343"/>
      <c r="EP113" s="343"/>
      <c r="EQ113" s="343"/>
      <c r="ER113" s="343"/>
      <c r="ES113" s="343"/>
      <c r="ET113" s="343"/>
      <c r="EU113" s="343"/>
      <c r="EV113" s="343"/>
      <c r="EW113" s="343"/>
      <c r="EX113" s="343"/>
      <c r="EY113" s="343"/>
      <c r="EZ113" s="343"/>
      <c r="FA113" s="343"/>
      <c r="FB113" s="343"/>
      <c r="FC113" s="343"/>
      <c r="FD113" s="343"/>
      <c r="FE113" s="343"/>
      <c r="FF113" s="343"/>
      <c r="FG113" s="343"/>
      <c r="FH113" s="343"/>
      <c r="FI113" s="343"/>
      <c r="FJ113" s="343"/>
      <c r="FK113" s="343"/>
      <c r="FL113" s="343"/>
      <c r="FM113" s="343"/>
      <c r="FN113" s="343"/>
      <c r="FO113" s="343"/>
      <c r="FP113" s="343"/>
      <c r="FQ113" s="343"/>
      <c r="FR113" s="343"/>
      <c r="FS113" s="343"/>
      <c r="FT113" s="343"/>
      <c r="FU113" s="343"/>
      <c r="FV113" s="343"/>
      <c r="FW113" s="343"/>
      <c r="FX113" s="343"/>
      <c r="FY113" s="343"/>
      <c r="FZ113" s="343"/>
      <c r="GA113" s="343"/>
      <c r="GB113" s="343"/>
      <c r="GC113" s="343"/>
      <c r="GD113" s="343"/>
      <c r="GE113" s="343"/>
      <c r="GF113" s="343"/>
      <c r="GG113" s="343"/>
      <c r="GH113" s="343"/>
      <c r="GI113" s="343"/>
      <c r="GJ113" s="343"/>
      <c r="GK113" s="343"/>
      <c r="GL113" s="343"/>
      <c r="GM113" s="343"/>
      <c r="GN113" s="343"/>
      <c r="GO113" s="343"/>
      <c r="GP113" s="343"/>
      <c r="GQ113" s="343"/>
      <c r="GR113" s="343"/>
      <c r="GS113" s="343"/>
      <c r="GT113" s="343"/>
      <c r="GU113" s="343"/>
      <c r="GV113" s="343"/>
      <c r="GW113" s="343"/>
      <c r="GX113" s="343"/>
      <c r="GY113" s="343"/>
      <c r="GZ113" s="343"/>
      <c r="HA113" s="343"/>
      <c r="HB113" s="343"/>
      <c r="HC113" s="343"/>
      <c r="HD113" s="343"/>
      <c r="HE113" s="343"/>
      <c r="HF113" s="343"/>
      <c r="HG113" s="343"/>
      <c r="HH113" s="343"/>
      <c r="HI113" s="343"/>
      <c r="HJ113" s="343"/>
      <c r="HK113" s="343"/>
      <c r="HL113" s="343"/>
      <c r="HM113" s="343"/>
      <c r="HN113" s="343"/>
      <c r="HO113" s="343"/>
      <c r="HP113" s="343"/>
      <c r="HQ113" s="343"/>
      <c r="HR113" s="343"/>
      <c r="HS113" s="343"/>
      <c r="HT113" s="343"/>
      <c r="HU113" s="343"/>
      <c r="HV113" s="343"/>
      <c r="HW113" s="343"/>
      <c r="HX113" s="343"/>
      <c r="HY113" s="343"/>
      <c r="HZ113" s="343"/>
      <c r="IA113" s="343"/>
      <c r="IB113" s="343"/>
      <c r="IC113" s="343"/>
      <c r="ID113" s="343"/>
      <c r="IE113" s="343"/>
      <c r="IF113" s="343"/>
      <c r="IG113" s="343"/>
      <c r="IH113" s="343"/>
      <c r="II113" s="343"/>
      <c r="IJ113" s="343"/>
      <c r="IK113" s="343"/>
      <c r="IL113" s="343"/>
      <c r="IM113" s="343"/>
      <c r="IN113" s="343"/>
      <c r="IO113" s="343"/>
      <c r="IP113" s="343"/>
      <c r="IQ113" s="343"/>
      <c r="IR113" s="343"/>
      <c r="IS113" s="343"/>
      <c r="IT113" s="343"/>
      <c r="IU113" s="343"/>
      <c r="IV113" s="343"/>
      <c r="IW113" s="343"/>
      <c r="IX113" s="343"/>
      <c r="IY113" s="343"/>
      <c r="IZ113" s="343"/>
      <c r="JA113" s="343"/>
      <c r="JB113" s="343"/>
      <c r="JC113" s="343"/>
      <c r="JD113" s="343"/>
      <c r="JE113" s="343"/>
      <c r="JF113" s="343"/>
      <c r="JG113" s="343"/>
      <c r="JH113" s="343"/>
      <c r="JI113" s="343"/>
      <c r="JJ113" s="343"/>
      <c r="JK113" s="343"/>
      <c r="JL113" s="343"/>
      <c r="JM113" s="343"/>
      <c r="JN113" s="343"/>
      <c r="JO113" s="343"/>
      <c r="JP113" s="343"/>
      <c r="JQ113" s="343"/>
      <c r="JR113" s="343"/>
      <c r="JS113" s="343"/>
      <c r="JT113" s="343"/>
      <c r="JU113" s="343"/>
      <c r="JV113" s="343"/>
      <c r="JW113" s="343"/>
      <c r="JX113" s="343"/>
      <c r="JY113" s="343"/>
      <c r="JZ113" s="343"/>
      <c r="KA113" s="343"/>
      <c r="KB113" s="343"/>
      <c r="KC113" s="343"/>
      <c r="KD113" s="343"/>
      <c r="KE113" s="343"/>
      <c r="KF113" s="343"/>
      <c r="KG113" s="343"/>
      <c r="KH113" s="343"/>
      <c r="KI113" s="343"/>
      <c r="KJ113" s="343"/>
      <c r="KK113" s="343"/>
      <c r="KL113" s="343"/>
      <c r="KM113" s="343"/>
      <c r="KN113" s="343"/>
      <c r="KO113" s="343"/>
      <c r="KP113" s="343"/>
      <c r="KQ113" s="343"/>
      <c r="KR113" s="343"/>
      <c r="KS113" s="343"/>
      <c r="KT113" s="343"/>
      <c r="KU113" s="343"/>
      <c r="KV113" s="343"/>
      <c r="KW113" s="343"/>
      <c r="KX113" s="343"/>
      <c r="KY113" s="343"/>
      <c r="KZ113" s="343"/>
      <c r="LA113" s="343"/>
      <c r="LB113" s="343"/>
      <c r="LC113" s="343"/>
      <c r="LD113" s="343"/>
      <c r="LE113" s="343"/>
      <c r="LF113" s="343"/>
      <c r="LG113" s="343"/>
      <c r="LH113" s="343"/>
      <c r="LI113" s="343"/>
      <c r="LJ113" s="343"/>
      <c r="LK113" s="343"/>
      <c r="LL113" s="343"/>
      <c r="LM113" s="343"/>
      <c r="LN113" s="343"/>
      <c r="LO113" s="343"/>
      <c r="LP113" s="343"/>
      <c r="LQ113" s="343"/>
      <c r="LR113" s="343"/>
      <c r="LS113" s="343"/>
      <c r="LT113" s="343"/>
      <c r="LU113" s="343"/>
      <c r="LV113" s="343"/>
      <c r="LW113" s="343"/>
      <c r="LX113" s="343"/>
      <c r="LY113" s="343"/>
      <c r="LZ113" s="343"/>
      <c r="MA113" s="343"/>
      <c r="MB113" s="343"/>
      <c r="MC113" s="343"/>
      <c r="MD113" s="343"/>
      <c r="ME113" s="343"/>
      <c r="MF113" s="343"/>
      <c r="MG113" s="343"/>
      <c r="MH113" s="343"/>
      <c r="MI113" s="343"/>
      <c r="MJ113" s="343"/>
      <c r="MK113" s="343"/>
      <c r="ML113" s="343"/>
      <c r="MM113" s="343"/>
      <c r="MN113" s="343"/>
      <c r="MO113" s="343"/>
      <c r="MP113" s="343"/>
      <c r="MQ113" s="343"/>
      <c r="MR113" s="343"/>
      <c r="MS113" s="343"/>
      <c r="MT113" s="343"/>
      <c r="MU113" s="343"/>
      <c r="MV113" s="343"/>
      <c r="MW113" s="343"/>
      <c r="MX113" s="343"/>
      <c r="MY113" s="343"/>
      <c r="MZ113" s="343"/>
      <c r="NA113" s="343"/>
      <c r="NB113" s="343"/>
      <c r="NC113" s="343"/>
      <c r="ND113" s="343"/>
      <c r="NE113" s="343"/>
      <c r="NF113" s="343"/>
      <c r="NG113" s="343"/>
      <c r="NH113" s="343"/>
      <c r="NI113" s="343"/>
      <c r="NJ113" s="343"/>
      <c r="NK113" s="343"/>
      <c r="NL113" s="343"/>
      <c r="NM113" s="343"/>
      <c r="NN113" s="343"/>
      <c r="NO113" s="343"/>
      <c r="NP113" s="343"/>
      <c r="NQ113" s="343"/>
      <c r="NR113" s="343"/>
      <c r="NS113" s="343"/>
      <c r="NT113" s="343"/>
      <c r="NU113" s="343"/>
      <c r="NV113" s="343"/>
      <c r="NW113" s="343"/>
      <c r="NX113" s="343"/>
      <c r="NY113" s="343"/>
      <c r="NZ113" s="343"/>
      <c r="OA113" s="343"/>
      <c r="OB113" s="343"/>
      <c r="OC113" s="343"/>
      <c r="OD113" s="343"/>
      <c r="OE113" s="343"/>
      <c r="OF113" s="343"/>
      <c r="OG113" s="343"/>
      <c r="OH113" s="343"/>
      <c r="OI113" s="343"/>
      <c r="OJ113" s="343"/>
      <c r="OK113" s="343"/>
      <c r="OL113" s="343"/>
      <c r="OM113" s="343"/>
      <c r="ON113" s="343"/>
      <c r="OO113" s="343"/>
      <c r="OP113" s="343"/>
      <c r="OQ113" s="343"/>
      <c r="OR113" s="343"/>
      <c r="OS113" s="343"/>
      <c r="OT113" s="343"/>
      <c r="OU113" s="343"/>
      <c r="OV113" s="343"/>
      <c r="OW113" s="343"/>
      <c r="OX113" s="343"/>
      <c r="OY113" s="343"/>
      <c r="OZ113" s="343"/>
      <c r="PA113" s="343"/>
      <c r="PB113" s="343"/>
      <c r="PC113" s="343"/>
      <c r="PD113" s="343"/>
      <c r="PE113" s="343"/>
      <c r="PF113" s="343"/>
      <c r="PG113" s="343"/>
      <c r="PH113" s="343"/>
      <c r="PI113" s="343"/>
      <c r="PJ113" s="343"/>
      <c r="PK113" s="343"/>
      <c r="PL113" s="343"/>
      <c r="PM113" s="343"/>
      <c r="PN113" s="343"/>
      <c r="PO113" s="343"/>
      <c r="PP113" s="343"/>
      <c r="PQ113" s="343"/>
      <c r="PR113" s="343"/>
      <c r="PS113" s="343"/>
      <c r="PT113" s="343"/>
      <c r="PU113" s="343"/>
      <c r="PV113" s="343"/>
      <c r="PW113" s="343"/>
      <c r="PX113" s="343"/>
      <c r="PY113" s="343"/>
      <c r="PZ113" s="343"/>
      <c r="QA113" s="343"/>
      <c r="QB113" s="343"/>
      <c r="QC113" s="343"/>
      <c r="QD113" s="343"/>
      <c r="QE113" s="343"/>
      <c r="QF113" s="343"/>
      <c r="QG113" s="343"/>
      <c r="QH113" s="343"/>
      <c r="QI113" s="343"/>
      <c r="QJ113" s="343"/>
      <c r="QK113" s="343"/>
      <c r="QL113" s="343"/>
      <c r="QM113" s="343"/>
      <c r="QN113" s="343"/>
      <c r="QO113" s="343"/>
      <c r="QP113" s="343"/>
      <c r="QQ113" s="343"/>
      <c r="QR113" s="343"/>
      <c r="QS113" s="343"/>
      <c r="QT113" s="343"/>
      <c r="QU113" s="343"/>
      <c r="QV113" s="343"/>
      <c r="QW113" s="343"/>
      <c r="QX113" s="343"/>
      <c r="QY113" s="343"/>
      <c r="QZ113" s="343"/>
      <c r="RA113" s="343"/>
      <c r="RB113" s="343"/>
      <c r="RC113" s="343"/>
      <c r="RD113" s="343"/>
      <c r="RE113" s="343"/>
      <c r="RF113" s="343"/>
      <c r="RG113" s="343"/>
      <c r="RH113" s="343"/>
      <c r="RI113" s="343"/>
      <c r="RJ113" s="343"/>
      <c r="RK113" s="343"/>
      <c r="RL113" s="343"/>
      <c r="RM113" s="343"/>
      <c r="RN113" s="343"/>
      <c r="RO113" s="343"/>
      <c r="RP113" s="343"/>
      <c r="RQ113" s="343"/>
      <c r="RR113" s="343"/>
      <c r="RS113" s="343"/>
      <c r="RT113" s="343"/>
      <c r="RU113" s="343"/>
      <c r="RV113" s="343"/>
      <c r="RW113" s="343"/>
      <c r="RX113" s="343"/>
      <c r="RY113" s="343"/>
      <c r="RZ113" s="343"/>
      <c r="SA113" s="343"/>
      <c r="SB113" s="343"/>
      <c r="SC113" s="343"/>
      <c r="SD113" s="343"/>
      <c r="SE113" s="343"/>
      <c r="SF113" s="343"/>
      <c r="SG113" s="343"/>
      <c r="SH113" s="343"/>
      <c r="SI113" s="343"/>
      <c r="SJ113" s="343"/>
      <c r="SK113" s="343"/>
      <c r="SL113" s="343"/>
      <c r="SM113" s="343"/>
      <c r="SN113" s="343"/>
      <c r="SO113" s="343"/>
      <c r="SP113" s="343"/>
      <c r="SQ113" s="343"/>
      <c r="SR113" s="343"/>
      <c r="SS113" s="343"/>
      <c r="ST113" s="343"/>
      <c r="SU113" s="343"/>
      <c r="SV113" s="343"/>
      <c r="SW113" s="343"/>
      <c r="SX113" s="343"/>
      <c r="SY113" s="343"/>
      <c r="SZ113" s="343"/>
      <c r="TA113" s="343"/>
      <c r="TB113" s="343"/>
      <c r="TC113" s="343"/>
      <c r="TD113" s="343"/>
      <c r="TE113" s="343"/>
      <c r="TF113" s="343"/>
      <c r="TG113" s="343"/>
      <c r="TH113" s="343"/>
      <c r="TI113" s="343"/>
      <c r="TJ113" s="343"/>
      <c r="TK113" s="343"/>
      <c r="TL113" s="343"/>
      <c r="TM113" s="343"/>
      <c r="TN113" s="343"/>
      <c r="TO113" s="343"/>
      <c r="TP113" s="343"/>
      <c r="TQ113" s="343"/>
      <c r="TR113" s="343"/>
      <c r="TS113" s="343"/>
      <c r="TT113" s="343"/>
      <c r="TU113" s="343"/>
      <c r="TV113" s="343"/>
      <c r="TW113" s="343"/>
      <c r="TX113" s="343"/>
      <c r="TY113" s="343"/>
      <c r="TZ113" s="343"/>
      <c r="UA113" s="343"/>
      <c r="UB113" s="343"/>
      <c r="UC113" s="343"/>
      <c r="UD113" s="343"/>
      <c r="UE113" s="343"/>
      <c r="UF113" s="343"/>
      <c r="UG113" s="343"/>
      <c r="UH113" s="343"/>
      <c r="UI113" s="343"/>
      <c r="UJ113" s="343"/>
      <c r="UK113" s="343"/>
      <c r="UL113" s="343"/>
      <c r="UM113" s="343"/>
      <c r="UN113" s="343"/>
      <c r="UO113" s="343"/>
      <c r="UP113" s="343"/>
      <c r="UQ113" s="343"/>
      <c r="UR113" s="343"/>
      <c r="US113" s="343"/>
      <c r="UT113" s="343"/>
      <c r="UU113" s="343"/>
      <c r="UV113" s="343"/>
      <c r="UW113" s="343"/>
      <c r="UX113" s="343"/>
      <c r="UY113" s="343"/>
      <c r="UZ113" s="343"/>
      <c r="VA113" s="343"/>
      <c r="VB113" s="343"/>
      <c r="VC113" s="343"/>
      <c r="VD113" s="343"/>
      <c r="VE113" s="343"/>
      <c r="VF113" s="343"/>
      <c r="VG113" s="343"/>
      <c r="VH113" s="343"/>
      <c r="VI113" s="343"/>
      <c r="VJ113" s="343"/>
      <c r="VK113" s="343"/>
      <c r="VL113" s="343"/>
      <c r="VM113" s="343"/>
      <c r="VN113" s="343"/>
      <c r="VO113" s="343"/>
      <c r="VP113" s="343"/>
      <c r="VQ113" s="343"/>
      <c r="VR113" s="343"/>
      <c r="VS113" s="343"/>
      <c r="VT113" s="343"/>
      <c r="VU113" s="343"/>
      <c r="VV113" s="343"/>
      <c r="VW113" s="343"/>
      <c r="VX113" s="343"/>
      <c r="VY113" s="343"/>
      <c r="VZ113" s="343"/>
      <c r="WA113" s="343"/>
      <c r="WB113" s="343"/>
      <c r="WC113" s="343"/>
      <c r="WD113" s="343"/>
      <c r="WE113" s="343"/>
      <c r="WF113" s="343"/>
      <c r="WG113" s="343"/>
      <c r="WH113" s="343"/>
      <c r="WI113" s="343"/>
      <c r="WJ113" s="343"/>
      <c r="WK113" s="343"/>
      <c r="WL113" s="343"/>
      <c r="WM113" s="343"/>
      <c r="WN113" s="343"/>
      <c r="WO113" s="343"/>
      <c r="WP113" s="343"/>
      <c r="WQ113" s="343"/>
      <c r="WR113" s="343"/>
      <c r="WS113" s="343"/>
      <c r="WT113" s="343"/>
      <c r="WU113" s="343"/>
      <c r="WV113" s="343"/>
      <c r="WW113" s="343"/>
      <c r="WX113" s="343"/>
      <c r="WY113" s="343"/>
      <c r="WZ113" s="343"/>
      <c r="XA113" s="343"/>
      <c r="XB113" s="343"/>
      <c r="XC113" s="343"/>
      <c r="XD113" s="343"/>
      <c r="XE113" s="343"/>
      <c r="XF113" s="343"/>
      <c r="XG113" s="343"/>
      <c r="XH113" s="343"/>
      <c r="XI113" s="343"/>
      <c r="XJ113" s="343"/>
      <c r="XK113" s="343"/>
      <c r="XL113" s="343"/>
      <c r="XM113" s="343"/>
      <c r="XN113" s="343"/>
      <c r="XO113" s="343"/>
      <c r="XP113" s="343"/>
      <c r="XQ113" s="343"/>
      <c r="XR113" s="343"/>
      <c r="XS113" s="343"/>
      <c r="XT113" s="343"/>
      <c r="XU113" s="343"/>
      <c r="XV113" s="343"/>
      <c r="XW113" s="343"/>
      <c r="XX113" s="343"/>
      <c r="XY113" s="343"/>
      <c r="XZ113" s="343"/>
      <c r="YA113" s="343"/>
      <c r="YB113" s="343"/>
      <c r="YC113" s="343"/>
      <c r="YD113" s="343"/>
      <c r="YE113" s="343"/>
      <c r="YF113" s="343"/>
      <c r="YG113" s="343"/>
      <c r="YH113" s="343"/>
      <c r="YI113" s="343"/>
      <c r="YJ113" s="343"/>
      <c r="YK113" s="343"/>
      <c r="YL113" s="343"/>
      <c r="YM113" s="343"/>
      <c r="YN113" s="343"/>
      <c r="YO113" s="343"/>
      <c r="YP113" s="343"/>
      <c r="YQ113" s="343"/>
      <c r="YR113" s="343"/>
      <c r="YS113" s="343"/>
      <c r="YT113" s="343"/>
      <c r="YU113" s="343"/>
      <c r="YV113" s="343"/>
      <c r="YW113" s="343"/>
      <c r="YX113" s="343"/>
      <c r="YY113" s="343"/>
      <c r="YZ113" s="343"/>
      <c r="ZA113" s="343"/>
      <c r="ZB113" s="343"/>
      <c r="ZC113" s="343"/>
      <c r="ZD113" s="343"/>
      <c r="ZE113" s="343"/>
      <c r="ZF113" s="343"/>
      <c r="ZG113" s="343"/>
      <c r="ZH113" s="343"/>
      <c r="ZI113" s="343"/>
      <c r="ZJ113" s="343"/>
      <c r="ZK113" s="343"/>
      <c r="ZL113" s="343"/>
      <c r="ZM113" s="343"/>
      <c r="ZN113" s="343"/>
      <c r="ZO113" s="343"/>
      <c r="ZP113" s="343"/>
      <c r="ZQ113" s="343"/>
      <c r="ZR113" s="343"/>
      <c r="ZS113" s="343"/>
      <c r="ZT113" s="343"/>
      <c r="ZU113" s="343"/>
      <c r="ZV113" s="343"/>
      <c r="ZW113" s="343"/>
      <c r="ZX113" s="343"/>
      <c r="ZY113" s="343"/>
      <c r="ZZ113" s="343"/>
      <c r="AAA113" s="343"/>
      <c r="AAB113" s="343"/>
      <c r="AAC113" s="343"/>
      <c r="AAD113" s="343"/>
      <c r="AAE113" s="343"/>
      <c r="AAF113" s="343"/>
      <c r="AAG113" s="343"/>
      <c r="AAH113" s="343"/>
      <c r="AAI113" s="343"/>
      <c r="AAJ113" s="343"/>
      <c r="AAK113" s="343"/>
      <c r="AAL113" s="343"/>
      <c r="AAM113" s="343"/>
      <c r="AAN113" s="343"/>
      <c r="AAO113" s="343"/>
      <c r="AAP113" s="343"/>
      <c r="AAQ113" s="343"/>
      <c r="AAR113" s="343"/>
      <c r="AAS113" s="343"/>
      <c r="AAT113" s="343"/>
      <c r="AAU113" s="343"/>
      <c r="AAV113" s="343"/>
      <c r="AAW113" s="343"/>
      <c r="AAX113" s="343"/>
      <c r="AAY113" s="343"/>
      <c r="AAZ113" s="343"/>
      <c r="ABA113" s="343"/>
      <c r="ABB113" s="343"/>
      <c r="ABC113" s="343"/>
      <c r="ABD113" s="343"/>
      <c r="ABE113" s="343"/>
      <c r="ABF113" s="343"/>
      <c r="ABG113" s="343"/>
      <c r="ABH113" s="343"/>
      <c r="ABI113" s="343"/>
      <c r="ABJ113" s="343"/>
      <c r="ABK113" s="343"/>
      <c r="ABL113" s="343"/>
      <c r="ABM113" s="343"/>
      <c r="ABN113" s="343"/>
      <c r="ABO113" s="343"/>
      <c r="ABP113" s="343"/>
      <c r="ABQ113" s="343"/>
      <c r="ABR113" s="343"/>
      <c r="ABS113" s="343"/>
      <c r="ABT113" s="343"/>
      <c r="ABU113" s="343"/>
      <c r="ABV113" s="343"/>
      <c r="ABW113" s="343"/>
      <c r="ABX113" s="343"/>
      <c r="ABY113" s="343"/>
      <c r="ABZ113" s="343"/>
      <c r="ACA113" s="343"/>
      <c r="ACB113" s="343"/>
      <c r="ACC113" s="343"/>
      <c r="ACD113" s="343"/>
      <c r="ACE113" s="343"/>
      <c r="ACF113" s="343"/>
      <c r="ACG113" s="343"/>
      <c r="ACH113" s="343"/>
      <c r="ACI113" s="343"/>
      <c r="ACJ113" s="343"/>
      <c r="ACK113" s="343"/>
      <c r="ACL113" s="343"/>
      <c r="ACM113" s="343"/>
      <c r="ACN113" s="343"/>
      <c r="ACO113" s="343"/>
      <c r="ACP113" s="343"/>
      <c r="ACQ113" s="343"/>
      <c r="ACR113" s="343"/>
      <c r="ACS113" s="343"/>
      <c r="ACT113" s="343"/>
      <c r="ACU113" s="343"/>
      <c r="ACV113" s="343"/>
      <c r="ACW113" s="343"/>
      <c r="ACX113" s="343"/>
      <c r="ACY113" s="343"/>
      <c r="ACZ113" s="343"/>
      <c r="ADA113" s="343"/>
      <c r="ADB113" s="343"/>
      <c r="ADC113" s="343"/>
      <c r="ADD113" s="343"/>
      <c r="ADE113" s="343"/>
      <c r="ADF113" s="343"/>
      <c r="ADG113" s="343"/>
      <c r="ADH113" s="343"/>
      <c r="ADI113" s="343"/>
      <c r="ADJ113" s="343"/>
      <c r="ADK113" s="343"/>
      <c r="ADL113" s="343"/>
      <c r="ADM113" s="343"/>
      <c r="ADN113" s="343"/>
      <c r="ADO113" s="343"/>
      <c r="ADP113" s="343"/>
      <c r="ADQ113" s="343"/>
      <c r="ADR113" s="343"/>
      <c r="ADS113" s="343"/>
      <c r="ADT113" s="343"/>
      <c r="ADU113" s="343"/>
      <c r="ADV113" s="343"/>
      <c r="ADW113" s="343"/>
      <c r="ADX113" s="343"/>
      <c r="ADY113" s="343"/>
      <c r="ADZ113" s="343"/>
      <c r="AEA113" s="343"/>
      <c r="AEB113" s="343"/>
      <c r="AEC113" s="343"/>
      <c r="AED113" s="343"/>
      <c r="AEE113" s="343"/>
      <c r="AEF113" s="343"/>
      <c r="AEG113" s="343"/>
      <c r="AEH113" s="343"/>
      <c r="AEI113" s="343"/>
      <c r="AEJ113" s="343"/>
      <c r="AEK113" s="343"/>
      <c r="AEL113" s="343"/>
      <c r="AEM113" s="343"/>
      <c r="AEN113" s="343"/>
      <c r="AEO113" s="343"/>
      <c r="AEP113" s="343"/>
      <c r="AEQ113" s="343"/>
      <c r="AER113" s="343"/>
      <c r="AES113" s="343"/>
      <c r="AET113" s="343"/>
      <c r="AEU113" s="343"/>
      <c r="AEV113" s="343"/>
      <c r="AEW113" s="343"/>
      <c r="AEX113" s="343"/>
      <c r="AEY113" s="343"/>
      <c r="AEZ113" s="343"/>
      <c r="AFA113" s="343"/>
      <c r="AFB113" s="343"/>
      <c r="AFC113" s="343"/>
      <c r="AFD113" s="343"/>
      <c r="AFE113" s="343"/>
      <c r="AFF113" s="343"/>
      <c r="AFG113" s="343"/>
      <c r="AFH113" s="343"/>
      <c r="AFI113" s="343"/>
      <c r="AFJ113" s="343"/>
      <c r="AFK113" s="343"/>
      <c r="AFL113" s="343"/>
      <c r="AFM113" s="343"/>
      <c r="AFN113" s="343"/>
      <c r="AFO113" s="343"/>
      <c r="AFP113" s="343"/>
      <c r="AFQ113" s="343"/>
      <c r="AFR113" s="343"/>
      <c r="AFS113" s="343"/>
      <c r="AFT113" s="343"/>
      <c r="AFU113" s="343"/>
      <c r="AFV113" s="343"/>
      <c r="AFW113" s="343"/>
      <c r="AFX113" s="343"/>
      <c r="AFY113" s="343"/>
      <c r="AFZ113" s="343"/>
      <c r="AGA113" s="343"/>
      <c r="AGB113" s="343"/>
      <c r="AGC113" s="343"/>
      <c r="AGD113" s="343"/>
      <c r="AGE113" s="343"/>
      <c r="AGF113" s="343"/>
      <c r="AGG113" s="343"/>
      <c r="AGH113" s="343"/>
      <c r="AGI113" s="343"/>
      <c r="AGJ113" s="343"/>
      <c r="AGK113" s="343"/>
      <c r="AGL113" s="343"/>
      <c r="AGM113" s="343"/>
      <c r="AGN113" s="343"/>
      <c r="AGO113" s="343"/>
      <c r="AGP113" s="343"/>
      <c r="AGQ113" s="343"/>
      <c r="AGR113" s="343"/>
      <c r="AGS113" s="343"/>
      <c r="AGT113" s="343"/>
      <c r="AGU113" s="343"/>
      <c r="AGV113" s="343"/>
      <c r="AGW113" s="343"/>
      <c r="AGX113" s="343"/>
      <c r="AGY113" s="343"/>
      <c r="AGZ113" s="343"/>
      <c r="AHA113" s="343"/>
      <c r="AHB113" s="343"/>
      <c r="AHC113" s="343"/>
      <c r="AHD113" s="343"/>
      <c r="AHE113" s="343"/>
      <c r="AHF113" s="343"/>
      <c r="AHG113" s="343"/>
      <c r="AHH113" s="343"/>
      <c r="AHI113" s="343"/>
      <c r="AHJ113" s="343"/>
      <c r="AHK113" s="343"/>
      <c r="AHL113" s="343"/>
      <c r="AHM113" s="343"/>
      <c r="AHN113" s="343"/>
      <c r="AHO113" s="343"/>
      <c r="AHP113" s="343"/>
      <c r="AHQ113" s="343"/>
      <c r="AHR113" s="343"/>
      <c r="AHS113" s="343"/>
      <c r="AHT113" s="343"/>
      <c r="AHU113" s="343"/>
      <c r="AHV113" s="343"/>
      <c r="AHW113" s="343"/>
      <c r="AHX113" s="343"/>
      <c r="AHY113" s="343"/>
      <c r="AHZ113" s="343"/>
      <c r="AIA113" s="343"/>
      <c r="AIB113" s="343"/>
      <c r="AIC113" s="343"/>
      <c r="AID113" s="343"/>
      <c r="AIE113" s="343"/>
      <c r="AIF113" s="343"/>
      <c r="AIG113" s="343"/>
      <c r="AIH113" s="343"/>
      <c r="AII113" s="343"/>
      <c r="AIJ113" s="343"/>
      <c r="AIK113" s="343"/>
      <c r="AIL113" s="343"/>
      <c r="AIM113" s="343"/>
      <c r="AIN113" s="343"/>
      <c r="AIO113" s="343"/>
      <c r="AIP113" s="343"/>
      <c r="AIQ113" s="343"/>
      <c r="AIR113" s="343"/>
      <c r="AIS113" s="343"/>
      <c r="AIT113" s="343"/>
      <c r="AIU113" s="343"/>
      <c r="AIV113" s="343"/>
      <c r="AIW113" s="343"/>
      <c r="AIX113" s="343"/>
      <c r="AIY113" s="343"/>
      <c r="AIZ113" s="343"/>
      <c r="AJA113" s="343"/>
      <c r="AJB113" s="343"/>
      <c r="AJC113" s="343"/>
      <c r="AJD113" s="343"/>
      <c r="AJE113" s="343"/>
      <c r="AJF113" s="343"/>
      <c r="AJG113" s="343"/>
      <c r="AJH113" s="343"/>
      <c r="AJI113" s="343"/>
      <c r="AJJ113" s="343"/>
      <c r="AJK113" s="343"/>
      <c r="AJL113" s="343"/>
      <c r="AJM113" s="343"/>
      <c r="AJN113" s="343"/>
      <c r="AJO113" s="343"/>
      <c r="AJP113" s="343"/>
      <c r="AJQ113" s="343"/>
      <c r="AJR113" s="343"/>
      <c r="AJS113" s="343"/>
      <c r="AJT113" s="343"/>
      <c r="AJU113" s="343"/>
      <c r="AJV113" s="343"/>
      <c r="AJW113" s="343"/>
      <c r="AJX113" s="343"/>
      <c r="AJY113" s="343"/>
      <c r="AJZ113" s="343"/>
      <c r="AKA113" s="343"/>
      <c r="AKB113" s="343"/>
      <c r="AKC113" s="343"/>
      <c r="AKD113" s="343"/>
      <c r="AKE113" s="343"/>
      <c r="AKF113" s="343"/>
      <c r="AKG113" s="343"/>
      <c r="AKH113" s="343"/>
      <c r="AKI113" s="343"/>
      <c r="AKJ113" s="343"/>
      <c r="AKK113" s="343"/>
      <c r="AKL113" s="343"/>
      <c r="AKM113" s="343"/>
      <c r="AKN113" s="343"/>
      <c r="AKO113" s="343"/>
      <c r="AKP113" s="343"/>
      <c r="AKQ113" s="343"/>
      <c r="AKR113" s="343"/>
      <c r="AKS113" s="343"/>
      <c r="AKT113" s="343"/>
      <c r="AKU113" s="343"/>
      <c r="AKV113" s="343"/>
      <c r="AKW113" s="343"/>
      <c r="AKX113" s="343"/>
      <c r="AKY113" s="343"/>
      <c r="AKZ113" s="343"/>
      <c r="ALA113" s="343"/>
      <c r="ALB113" s="343"/>
      <c r="ALC113" s="343"/>
      <c r="ALD113" s="343"/>
      <c r="ALE113" s="343"/>
      <c r="ALF113" s="343"/>
      <c r="ALG113" s="343"/>
      <c r="ALH113" s="343"/>
      <c r="ALI113" s="343"/>
      <c r="ALJ113" s="343"/>
      <c r="ALK113" s="343"/>
      <c r="ALL113" s="343"/>
      <c r="ALM113" s="343"/>
      <c r="ALN113" s="343"/>
      <c r="ALO113" s="343"/>
      <c r="ALP113" s="343"/>
      <c r="ALQ113" s="343"/>
      <c r="ALR113" s="343"/>
      <c r="ALS113" s="343"/>
      <c r="ALT113" s="343"/>
      <c r="ALU113" s="343"/>
      <c r="ALV113" s="343"/>
      <c r="ALW113" s="343"/>
      <c r="ALX113" s="343"/>
      <c r="ALY113" s="343"/>
      <c r="ALZ113" s="343"/>
      <c r="AMA113" s="343"/>
      <c r="AMB113" s="343"/>
      <c r="AMC113" s="343"/>
      <c r="AMD113" s="343"/>
      <c r="AME113" s="343"/>
      <c r="AMF113" s="343"/>
      <c r="AMG113" s="343"/>
      <c r="AMH113" s="343"/>
      <c r="AMI113" s="343"/>
      <c r="AMJ113" s="343"/>
      <c r="AMK113" s="343"/>
      <c r="AML113" s="343"/>
      <c r="AMM113" s="343"/>
      <c r="AMN113" s="343"/>
      <c r="AMO113" s="343"/>
      <c r="AMP113" s="343"/>
      <c r="AMQ113" s="343"/>
      <c r="AMR113" s="343"/>
      <c r="AMS113" s="343"/>
      <c r="AMT113" s="343"/>
    </row>
    <row r="114" spans="1:1034" s="345" customFormat="1" ht="60">
      <c r="A114" s="774" t="s">
        <v>283</v>
      </c>
      <c r="B114" s="346" t="s">
        <v>260</v>
      </c>
      <c r="C114" s="344">
        <f>C49-C65-C91</f>
        <v>51976270.619999997</v>
      </c>
      <c r="D114" s="344">
        <f>D49-D65-D91</f>
        <v>52580000</v>
      </c>
      <c r="E114" s="344"/>
      <c r="F114" s="344"/>
      <c r="G114" s="344">
        <f>G49-G65-G91</f>
        <v>57671000</v>
      </c>
      <c r="H114" s="344"/>
      <c r="I114" s="344"/>
      <c r="J114" s="344">
        <f>J49-J65-J91</f>
        <v>61413000</v>
      </c>
      <c r="K114" s="344"/>
      <c r="L114" s="344"/>
      <c r="M114" s="347"/>
      <c r="N114" s="348"/>
      <c r="O114" s="343"/>
      <c r="P114" s="343"/>
      <c r="Q114" s="343"/>
      <c r="R114" s="343"/>
      <c r="S114" s="343"/>
      <c r="T114" s="343"/>
      <c r="U114" s="343"/>
      <c r="V114" s="343"/>
      <c r="W114" s="343"/>
      <c r="X114" s="343"/>
      <c r="Y114" s="343"/>
      <c r="Z114" s="343"/>
      <c r="AA114" s="343"/>
      <c r="AB114" s="343"/>
      <c r="AC114" s="343"/>
      <c r="AD114" s="343"/>
      <c r="AE114" s="343"/>
      <c r="AF114" s="343"/>
      <c r="AG114" s="343"/>
      <c r="AH114" s="343"/>
      <c r="AI114" s="343"/>
      <c r="AJ114" s="343"/>
      <c r="AK114" s="343"/>
      <c r="AL114" s="343"/>
      <c r="AM114" s="343"/>
      <c r="AN114" s="343"/>
      <c r="AO114" s="343"/>
      <c r="AP114" s="343"/>
      <c r="AQ114" s="343"/>
      <c r="AR114" s="343"/>
      <c r="AS114" s="343"/>
      <c r="AT114" s="343"/>
      <c r="AU114" s="343"/>
      <c r="AV114" s="343"/>
      <c r="AW114" s="343"/>
      <c r="AX114" s="343"/>
      <c r="AY114" s="343"/>
      <c r="AZ114" s="343"/>
      <c r="BA114" s="343"/>
      <c r="BB114" s="343"/>
      <c r="BC114" s="343"/>
      <c r="BD114" s="343"/>
      <c r="BE114" s="343"/>
      <c r="BF114" s="343"/>
      <c r="BG114" s="343"/>
      <c r="BH114" s="343"/>
      <c r="BI114" s="343"/>
      <c r="BJ114" s="343"/>
      <c r="BK114" s="343"/>
      <c r="BL114" s="343"/>
      <c r="BM114" s="343"/>
      <c r="BN114" s="343"/>
      <c r="BO114" s="343"/>
      <c r="BP114" s="343"/>
      <c r="BQ114" s="343"/>
      <c r="BR114" s="343"/>
      <c r="BS114" s="343"/>
      <c r="BT114" s="343"/>
      <c r="BU114" s="343"/>
      <c r="BV114" s="343"/>
      <c r="BW114" s="343"/>
      <c r="BX114" s="343"/>
      <c r="BY114" s="343"/>
      <c r="BZ114" s="343"/>
      <c r="CA114" s="343"/>
      <c r="CB114" s="343"/>
      <c r="CC114" s="343"/>
      <c r="CD114" s="343"/>
      <c r="CE114" s="343"/>
      <c r="CF114" s="343"/>
      <c r="CG114" s="343"/>
      <c r="CH114" s="343"/>
      <c r="CI114" s="343"/>
      <c r="CJ114" s="343"/>
      <c r="CK114" s="343"/>
      <c r="CL114" s="343"/>
      <c r="CM114" s="343"/>
      <c r="CN114" s="343"/>
      <c r="CO114" s="343"/>
      <c r="CP114" s="343"/>
      <c r="CQ114" s="343"/>
      <c r="CR114" s="343"/>
      <c r="CS114" s="343"/>
      <c r="CT114" s="343"/>
      <c r="CU114" s="343"/>
      <c r="CV114" s="343"/>
      <c r="CW114" s="343"/>
      <c r="CX114" s="343"/>
      <c r="CY114" s="343"/>
      <c r="CZ114" s="343"/>
      <c r="DA114" s="343"/>
      <c r="DB114" s="343"/>
      <c r="DC114" s="343"/>
      <c r="DD114" s="343"/>
      <c r="DE114" s="343"/>
      <c r="DF114" s="343"/>
      <c r="DG114" s="343"/>
      <c r="DH114" s="343"/>
      <c r="DI114" s="343"/>
      <c r="DJ114" s="343"/>
      <c r="DK114" s="343"/>
      <c r="DL114" s="343"/>
      <c r="DM114" s="343"/>
      <c r="DN114" s="343"/>
      <c r="DO114" s="343"/>
      <c r="DP114" s="343"/>
      <c r="DQ114" s="343"/>
      <c r="DR114" s="343"/>
      <c r="DS114" s="343"/>
      <c r="DT114" s="343"/>
      <c r="DU114" s="343"/>
      <c r="DV114" s="343"/>
      <c r="DW114" s="343"/>
      <c r="DX114" s="343"/>
      <c r="DY114" s="343"/>
      <c r="DZ114" s="343"/>
      <c r="EA114" s="343"/>
      <c r="EB114" s="343"/>
      <c r="EC114" s="343"/>
      <c r="ED114" s="343"/>
      <c r="EE114" s="343"/>
      <c r="EF114" s="343"/>
      <c r="EG114" s="343"/>
      <c r="EH114" s="343"/>
      <c r="EI114" s="343"/>
      <c r="EJ114" s="343"/>
      <c r="EK114" s="343"/>
      <c r="EL114" s="343"/>
      <c r="EM114" s="343"/>
      <c r="EN114" s="343"/>
      <c r="EO114" s="343"/>
      <c r="EP114" s="343"/>
      <c r="EQ114" s="343"/>
      <c r="ER114" s="343"/>
      <c r="ES114" s="343"/>
      <c r="ET114" s="343"/>
      <c r="EU114" s="343"/>
      <c r="EV114" s="343"/>
      <c r="EW114" s="343"/>
      <c r="EX114" s="343"/>
      <c r="EY114" s="343"/>
      <c r="EZ114" s="343"/>
      <c r="FA114" s="343"/>
      <c r="FB114" s="343"/>
      <c r="FC114" s="343"/>
      <c r="FD114" s="343"/>
      <c r="FE114" s="343"/>
      <c r="FF114" s="343"/>
      <c r="FG114" s="343"/>
      <c r="FH114" s="343"/>
      <c r="FI114" s="343"/>
      <c r="FJ114" s="343"/>
      <c r="FK114" s="343"/>
      <c r="FL114" s="343"/>
      <c r="FM114" s="343"/>
      <c r="FN114" s="343"/>
      <c r="FO114" s="343"/>
      <c r="FP114" s="343"/>
      <c r="FQ114" s="343"/>
      <c r="FR114" s="343"/>
      <c r="FS114" s="343"/>
      <c r="FT114" s="343"/>
      <c r="FU114" s="343"/>
      <c r="FV114" s="343"/>
      <c r="FW114" s="343"/>
      <c r="FX114" s="343"/>
      <c r="FY114" s="343"/>
      <c r="FZ114" s="343"/>
      <c r="GA114" s="343"/>
      <c r="GB114" s="343"/>
      <c r="GC114" s="343"/>
      <c r="GD114" s="343"/>
      <c r="GE114" s="343"/>
      <c r="GF114" s="343"/>
      <c r="GG114" s="343"/>
      <c r="GH114" s="343"/>
      <c r="GI114" s="343"/>
      <c r="GJ114" s="343"/>
      <c r="GK114" s="343"/>
      <c r="GL114" s="343"/>
      <c r="GM114" s="343"/>
      <c r="GN114" s="343"/>
      <c r="GO114" s="343"/>
      <c r="GP114" s="343"/>
      <c r="GQ114" s="343"/>
      <c r="GR114" s="343"/>
      <c r="GS114" s="343"/>
      <c r="GT114" s="343"/>
      <c r="GU114" s="343"/>
      <c r="GV114" s="343"/>
      <c r="GW114" s="343"/>
      <c r="GX114" s="343"/>
      <c r="GY114" s="343"/>
      <c r="GZ114" s="343"/>
      <c r="HA114" s="343"/>
      <c r="HB114" s="343"/>
      <c r="HC114" s="343"/>
      <c r="HD114" s="343"/>
      <c r="HE114" s="343"/>
      <c r="HF114" s="343"/>
      <c r="HG114" s="343"/>
      <c r="HH114" s="343"/>
      <c r="HI114" s="343"/>
      <c r="HJ114" s="343"/>
      <c r="HK114" s="343"/>
      <c r="HL114" s="343"/>
      <c r="HM114" s="343"/>
      <c r="HN114" s="343"/>
      <c r="HO114" s="343"/>
      <c r="HP114" s="343"/>
      <c r="HQ114" s="343"/>
      <c r="HR114" s="343"/>
      <c r="HS114" s="343"/>
      <c r="HT114" s="343"/>
      <c r="HU114" s="343"/>
      <c r="HV114" s="343"/>
      <c r="HW114" s="343"/>
      <c r="HX114" s="343"/>
      <c r="HY114" s="343"/>
      <c r="HZ114" s="343"/>
      <c r="IA114" s="343"/>
      <c r="IB114" s="343"/>
      <c r="IC114" s="343"/>
      <c r="ID114" s="343"/>
      <c r="IE114" s="343"/>
      <c r="IF114" s="343"/>
      <c r="IG114" s="343"/>
      <c r="IH114" s="343"/>
      <c r="II114" s="343"/>
      <c r="IJ114" s="343"/>
      <c r="IK114" s="343"/>
      <c r="IL114" s="343"/>
      <c r="IM114" s="343"/>
      <c r="IN114" s="343"/>
      <c r="IO114" s="343"/>
      <c r="IP114" s="343"/>
      <c r="IQ114" s="343"/>
      <c r="IR114" s="343"/>
      <c r="IS114" s="343"/>
      <c r="IT114" s="343"/>
      <c r="IU114" s="343"/>
      <c r="IV114" s="343"/>
      <c r="IW114" s="343"/>
      <c r="IX114" s="343"/>
      <c r="IY114" s="343"/>
      <c r="IZ114" s="343"/>
      <c r="JA114" s="343"/>
      <c r="JB114" s="343"/>
      <c r="JC114" s="343"/>
      <c r="JD114" s="343"/>
      <c r="JE114" s="343"/>
      <c r="JF114" s="343"/>
      <c r="JG114" s="343"/>
      <c r="JH114" s="343"/>
      <c r="JI114" s="343"/>
      <c r="JJ114" s="343"/>
      <c r="JK114" s="343"/>
      <c r="JL114" s="343"/>
      <c r="JM114" s="343"/>
      <c r="JN114" s="343"/>
      <c r="JO114" s="343"/>
      <c r="JP114" s="343"/>
      <c r="JQ114" s="343"/>
      <c r="JR114" s="343"/>
      <c r="JS114" s="343"/>
      <c r="JT114" s="343"/>
      <c r="JU114" s="343"/>
      <c r="JV114" s="343"/>
      <c r="JW114" s="343"/>
      <c r="JX114" s="343"/>
      <c r="JY114" s="343"/>
      <c r="JZ114" s="343"/>
      <c r="KA114" s="343"/>
      <c r="KB114" s="343"/>
      <c r="KC114" s="343"/>
      <c r="KD114" s="343"/>
      <c r="KE114" s="343"/>
      <c r="KF114" s="343"/>
      <c r="KG114" s="343"/>
      <c r="KH114" s="343"/>
      <c r="KI114" s="343"/>
      <c r="KJ114" s="343"/>
      <c r="KK114" s="343"/>
      <c r="KL114" s="343"/>
      <c r="KM114" s="343"/>
      <c r="KN114" s="343"/>
      <c r="KO114" s="343"/>
      <c r="KP114" s="343"/>
      <c r="KQ114" s="343"/>
      <c r="KR114" s="343"/>
      <c r="KS114" s="343"/>
      <c r="KT114" s="343"/>
      <c r="KU114" s="343"/>
      <c r="KV114" s="343"/>
      <c r="KW114" s="343"/>
      <c r="KX114" s="343"/>
      <c r="KY114" s="343"/>
      <c r="KZ114" s="343"/>
      <c r="LA114" s="343"/>
      <c r="LB114" s="343"/>
      <c r="LC114" s="343"/>
      <c r="LD114" s="343"/>
      <c r="LE114" s="343"/>
      <c r="LF114" s="343"/>
      <c r="LG114" s="343"/>
      <c r="LH114" s="343"/>
      <c r="LI114" s="343"/>
      <c r="LJ114" s="343"/>
      <c r="LK114" s="343"/>
      <c r="LL114" s="343"/>
      <c r="LM114" s="343"/>
      <c r="LN114" s="343"/>
      <c r="LO114" s="343"/>
      <c r="LP114" s="343"/>
      <c r="LQ114" s="343"/>
      <c r="LR114" s="343"/>
      <c r="LS114" s="343"/>
      <c r="LT114" s="343"/>
      <c r="LU114" s="343"/>
      <c r="LV114" s="343"/>
      <c r="LW114" s="343"/>
      <c r="LX114" s="343"/>
      <c r="LY114" s="343"/>
      <c r="LZ114" s="343"/>
      <c r="MA114" s="343"/>
      <c r="MB114" s="343"/>
      <c r="MC114" s="343"/>
      <c r="MD114" s="343"/>
      <c r="ME114" s="343"/>
      <c r="MF114" s="343"/>
      <c r="MG114" s="343"/>
      <c r="MH114" s="343"/>
      <c r="MI114" s="343"/>
      <c r="MJ114" s="343"/>
      <c r="MK114" s="343"/>
      <c r="ML114" s="343"/>
      <c r="MM114" s="343"/>
      <c r="MN114" s="343"/>
      <c r="MO114" s="343"/>
      <c r="MP114" s="343"/>
      <c r="MQ114" s="343"/>
      <c r="MR114" s="343"/>
      <c r="MS114" s="343"/>
      <c r="MT114" s="343"/>
      <c r="MU114" s="343"/>
      <c r="MV114" s="343"/>
      <c r="MW114" s="343"/>
      <c r="MX114" s="343"/>
      <c r="MY114" s="343"/>
      <c r="MZ114" s="343"/>
      <c r="NA114" s="343"/>
      <c r="NB114" s="343"/>
      <c r="NC114" s="343"/>
      <c r="ND114" s="343"/>
      <c r="NE114" s="343"/>
      <c r="NF114" s="343"/>
      <c r="NG114" s="343"/>
      <c r="NH114" s="343"/>
      <c r="NI114" s="343"/>
      <c r="NJ114" s="343"/>
      <c r="NK114" s="343"/>
      <c r="NL114" s="343"/>
      <c r="NM114" s="343"/>
      <c r="NN114" s="343"/>
      <c r="NO114" s="343"/>
      <c r="NP114" s="343"/>
      <c r="NQ114" s="343"/>
      <c r="NR114" s="343"/>
      <c r="NS114" s="343"/>
      <c r="NT114" s="343"/>
      <c r="NU114" s="343"/>
      <c r="NV114" s="343"/>
      <c r="NW114" s="343"/>
      <c r="NX114" s="343"/>
      <c r="NY114" s="343"/>
      <c r="NZ114" s="343"/>
      <c r="OA114" s="343"/>
      <c r="OB114" s="343"/>
      <c r="OC114" s="343"/>
      <c r="OD114" s="343"/>
      <c r="OE114" s="343"/>
      <c r="OF114" s="343"/>
      <c r="OG114" s="343"/>
      <c r="OH114" s="343"/>
      <c r="OI114" s="343"/>
      <c r="OJ114" s="343"/>
      <c r="OK114" s="343"/>
      <c r="OL114" s="343"/>
      <c r="OM114" s="343"/>
      <c r="ON114" s="343"/>
      <c r="OO114" s="343"/>
      <c r="OP114" s="343"/>
      <c r="OQ114" s="343"/>
      <c r="OR114" s="343"/>
      <c r="OS114" s="343"/>
      <c r="OT114" s="343"/>
      <c r="OU114" s="343"/>
      <c r="OV114" s="343"/>
      <c r="OW114" s="343"/>
      <c r="OX114" s="343"/>
      <c r="OY114" s="343"/>
      <c r="OZ114" s="343"/>
      <c r="PA114" s="343"/>
      <c r="PB114" s="343"/>
      <c r="PC114" s="343"/>
      <c r="PD114" s="343"/>
      <c r="PE114" s="343"/>
      <c r="PF114" s="343"/>
      <c r="PG114" s="343"/>
      <c r="PH114" s="343"/>
      <c r="PI114" s="343"/>
      <c r="PJ114" s="343"/>
      <c r="PK114" s="343"/>
      <c r="PL114" s="343"/>
      <c r="PM114" s="343"/>
      <c r="PN114" s="343"/>
      <c r="PO114" s="343"/>
      <c r="PP114" s="343"/>
      <c r="PQ114" s="343"/>
      <c r="PR114" s="343"/>
      <c r="PS114" s="343"/>
      <c r="PT114" s="343"/>
      <c r="PU114" s="343"/>
      <c r="PV114" s="343"/>
      <c r="PW114" s="343"/>
      <c r="PX114" s="343"/>
      <c r="PY114" s="343"/>
      <c r="PZ114" s="343"/>
      <c r="QA114" s="343"/>
      <c r="QB114" s="343"/>
      <c r="QC114" s="343"/>
      <c r="QD114" s="343"/>
      <c r="QE114" s="343"/>
      <c r="QF114" s="343"/>
      <c r="QG114" s="343"/>
      <c r="QH114" s="343"/>
      <c r="QI114" s="343"/>
      <c r="QJ114" s="343"/>
      <c r="QK114" s="343"/>
      <c r="QL114" s="343"/>
      <c r="QM114" s="343"/>
      <c r="QN114" s="343"/>
      <c r="QO114" s="343"/>
      <c r="QP114" s="343"/>
      <c r="QQ114" s="343"/>
      <c r="QR114" s="343"/>
      <c r="QS114" s="343"/>
      <c r="QT114" s="343"/>
      <c r="QU114" s="343"/>
      <c r="QV114" s="343"/>
      <c r="QW114" s="343"/>
      <c r="QX114" s="343"/>
      <c r="QY114" s="343"/>
      <c r="QZ114" s="343"/>
      <c r="RA114" s="343"/>
      <c r="RB114" s="343"/>
      <c r="RC114" s="343"/>
      <c r="RD114" s="343"/>
      <c r="RE114" s="343"/>
      <c r="RF114" s="343"/>
      <c r="RG114" s="343"/>
      <c r="RH114" s="343"/>
      <c r="RI114" s="343"/>
      <c r="RJ114" s="343"/>
      <c r="RK114" s="343"/>
      <c r="RL114" s="343"/>
      <c r="RM114" s="343"/>
      <c r="RN114" s="343"/>
      <c r="RO114" s="343"/>
      <c r="RP114" s="343"/>
      <c r="RQ114" s="343"/>
      <c r="RR114" s="343"/>
      <c r="RS114" s="343"/>
      <c r="RT114" s="343"/>
      <c r="RU114" s="343"/>
      <c r="RV114" s="343"/>
      <c r="RW114" s="343"/>
      <c r="RX114" s="343"/>
      <c r="RY114" s="343"/>
      <c r="RZ114" s="343"/>
      <c r="SA114" s="343"/>
      <c r="SB114" s="343"/>
      <c r="SC114" s="343"/>
      <c r="SD114" s="343"/>
      <c r="SE114" s="343"/>
      <c r="SF114" s="343"/>
      <c r="SG114" s="343"/>
      <c r="SH114" s="343"/>
      <c r="SI114" s="343"/>
      <c r="SJ114" s="343"/>
      <c r="SK114" s="343"/>
      <c r="SL114" s="343"/>
      <c r="SM114" s="343"/>
      <c r="SN114" s="343"/>
      <c r="SO114" s="343"/>
      <c r="SP114" s="343"/>
      <c r="SQ114" s="343"/>
      <c r="SR114" s="343"/>
      <c r="SS114" s="343"/>
      <c r="ST114" s="343"/>
      <c r="SU114" s="343"/>
      <c r="SV114" s="343"/>
      <c r="SW114" s="343"/>
      <c r="SX114" s="343"/>
      <c r="SY114" s="343"/>
      <c r="SZ114" s="343"/>
      <c r="TA114" s="343"/>
      <c r="TB114" s="343"/>
      <c r="TC114" s="343"/>
      <c r="TD114" s="343"/>
      <c r="TE114" s="343"/>
      <c r="TF114" s="343"/>
      <c r="TG114" s="343"/>
      <c r="TH114" s="343"/>
      <c r="TI114" s="343"/>
      <c r="TJ114" s="343"/>
      <c r="TK114" s="343"/>
      <c r="TL114" s="343"/>
      <c r="TM114" s="343"/>
      <c r="TN114" s="343"/>
      <c r="TO114" s="343"/>
      <c r="TP114" s="343"/>
      <c r="TQ114" s="343"/>
      <c r="TR114" s="343"/>
      <c r="TS114" s="343"/>
      <c r="TT114" s="343"/>
      <c r="TU114" s="343"/>
      <c r="TV114" s="343"/>
      <c r="TW114" s="343"/>
      <c r="TX114" s="343"/>
      <c r="TY114" s="343"/>
      <c r="TZ114" s="343"/>
      <c r="UA114" s="343"/>
      <c r="UB114" s="343"/>
      <c r="UC114" s="343"/>
      <c r="UD114" s="343"/>
      <c r="UE114" s="343"/>
      <c r="UF114" s="343"/>
      <c r="UG114" s="343"/>
      <c r="UH114" s="343"/>
      <c r="UI114" s="343"/>
      <c r="UJ114" s="343"/>
      <c r="UK114" s="343"/>
      <c r="UL114" s="343"/>
      <c r="UM114" s="343"/>
      <c r="UN114" s="343"/>
      <c r="UO114" s="343"/>
      <c r="UP114" s="343"/>
      <c r="UQ114" s="343"/>
      <c r="UR114" s="343"/>
      <c r="US114" s="343"/>
      <c r="UT114" s="343"/>
      <c r="UU114" s="343"/>
      <c r="UV114" s="343"/>
      <c r="UW114" s="343"/>
      <c r="UX114" s="343"/>
      <c r="UY114" s="343"/>
      <c r="UZ114" s="343"/>
      <c r="VA114" s="343"/>
      <c r="VB114" s="343"/>
      <c r="VC114" s="343"/>
      <c r="VD114" s="343"/>
      <c r="VE114" s="343"/>
      <c r="VF114" s="343"/>
      <c r="VG114" s="343"/>
      <c r="VH114" s="343"/>
      <c r="VI114" s="343"/>
      <c r="VJ114" s="343"/>
      <c r="VK114" s="343"/>
      <c r="VL114" s="343"/>
      <c r="VM114" s="343"/>
      <c r="VN114" s="343"/>
      <c r="VO114" s="343"/>
      <c r="VP114" s="343"/>
      <c r="VQ114" s="343"/>
      <c r="VR114" s="343"/>
      <c r="VS114" s="343"/>
      <c r="VT114" s="343"/>
      <c r="VU114" s="343"/>
      <c r="VV114" s="343"/>
      <c r="VW114" s="343"/>
      <c r="VX114" s="343"/>
      <c r="VY114" s="343"/>
      <c r="VZ114" s="343"/>
      <c r="WA114" s="343"/>
      <c r="WB114" s="343"/>
      <c r="WC114" s="343"/>
      <c r="WD114" s="343"/>
      <c r="WE114" s="343"/>
      <c r="WF114" s="343"/>
      <c r="WG114" s="343"/>
      <c r="WH114" s="343"/>
      <c r="WI114" s="343"/>
      <c r="WJ114" s="343"/>
      <c r="WK114" s="343"/>
      <c r="WL114" s="343"/>
      <c r="WM114" s="343"/>
      <c r="WN114" s="343"/>
      <c r="WO114" s="343"/>
      <c r="WP114" s="343"/>
      <c r="WQ114" s="343"/>
      <c r="WR114" s="343"/>
      <c r="WS114" s="343"/>
      <c r="WT114" s="343"/>
      <c r="WU114" s="343"/>
      <c r="WV114" s="343"/>
      <c r="WW114" s="343"/>
      <c r="WX114" s="343"/>
      <c r="WY114" s="343"/>
      <c r="WZ114" s="343"/>
      <c r="XA114" s="343"/>
      <c r="XB114" s="343"/>
      <c r="XC114" s="343"/>
      <c r="XD114" s="343"/>
      <c r="XE114" s="343"/>
      <c r="XF114" s="343"/>
      <c r="XG114" s="343"/>
      <c r="XH114" s="343"/>
      <c r="XI114" s="343"/>
      <c r="XJ114" s="343"/>
      <c r="XK114" s="343"/>
      <c r="XL114" s="343"/>
      <c r="XM114" s="343"/>
      <c r="XN114" s="343"/>
      <c r="XO114" s="343"/>
      <c r="XP114" s="343"/>
      <c r="XQ114" s="343"/>
      <c r="XR114" s="343"/>
      <c r="XS114" s="343"/>
      <c r="XT114" s="343"/>
      <c r="XU114" s="343"/>
      <c r="XV114" s="343"/>
      <c r="XW114" s="343"/>
      <c r="XX114" s="343"/>
      <c r="XY114" s="343"/>
      <c r="XZ114" s="343"/>
      <c r="YA114" s="343"/>
      <c r="YB114" s="343"/>
      <c r="YC114" s="343"/>
      <c r="YD114" s="343"/>
      <c r="YE114" s="343"/>
      <c r="YF114" s="343"/>
      <c r="YG114" s="343"/>
      <c r="YH114" s="343"/>
      <c r="YI114" s="343"/>
      <c r="YJ114" s="343"/>
      <c r="YK114" s="343"/>
      <c r="YL114" s="343"/>
      <c r="YM114" s="343"/>
      <c r="YN114" s="343"/>
      <c r="YO114" s="343"/>
      <c r="YP114" s="343"/>
      <c r="YQ114" s="343"/>
      <c r="YR114" s="343"/>
      <c r="YS114" s="343"/>
      <c r="YT114" s="343"/>
      <c r="YU114" s="343"/>
      <c r="YV114" s="343"/>
      <c r="YW114" s="343"/>
      <c r="YX114" s="343"/>
      <c r="YY114" s="343"/>
      <c r="YZ114" s="343"/>
      <c r="ZA114" s="343"/>
      <c r="ZB114" s="343"/>
      <c r="ZC114" s="343"/>
      <c r="ZD114" s="343"/>
      <c r="ZE114" s="343"/>
      <c r="ZF114" s="343"/>
      <c r="ZG114" s="343"/>
      <c r="ZH114" s="343"/>
      <c r="ZI114" s="343"/>
      <c r="ZJ114" s="343"/>
      <c r="ZK114" s="343"/>
      <c r="ZL114" s="343"/>
      <c r="ZM114" s="343"/>
      <c r="ZN114" s="343"/>
      <c r="ZO114" s="343"/>
      <c r="ZP114" s="343"/>
      <c r="ZQ114" s="343"/>
      <c r="ZR114" s="343"/>
      <c r="ZS114" s="343"/>
      <c r="ZT114" s="343"/>
      <c r="ZU114" s="343"/>
      <c r="ZV114" s="343"/>
      <c r="ZW114" s="343"/>
      <c r="ZX114" s="343"/>
      <c r="ZY114" s="343"/>
      <c r="ZZ114" s="343"/>
      <c r="AAA114" s="343"/>
      <c r="AAB114" s="343"/>
      <c r="AAC114" s="343"/>
      <c r="AAD114" s="343"/>
      <c r="AAE114" s="343"/>
      <c r="AAF114" s="343"/>
      <c r="AAG114" s="343"/>
      <c r="AAH114" s="343"/>
      <c r="AAI114" s="343"/>
      <c r="AAJ114" s="343"/>
      <c r="AAK114" s="343"/>
      <c r="AAL114" s="343"/>
      <c r="AAM114" s="343"/>
      <c r="AAN114" s="343"/>
      <c r="AAO114" s="343"/>
      <c r="AAP114" s="343"/>
      <c r="AAQ114" s="343"/>
      <c r="AAR114" s="343"/>
      <c r="AAS114" s="343"/>
      <c r="AAT114" s="343"/>
      <c r="AAU114" s="343"/>
      <c r="AAV114" s="343"/>
      <c r="AAW114" s="343"/>
      <c r="AAX114" s="343"/>
      <c r="AAY114" s="343"/>
      <c r="AAZ114" s="343"/>
      <c r="ABA114" s="343"/>
      <c r="ABB114" s="343"/>
      <c r="ABC114" s="343"/>
      <c r="ABD114" s="343"/>
      <c r="ABE114" s="343"/>
      <c r="ABF114" s="343"/>
      <c r="ABG114" s="343"/>
      <c r="ABH114" s="343"/>
      <c r="ABI114" s="343"/>
      <c r="ABJ114" s="343"/>
      <c r="ABK114" s="343"/>
      <c r="ABL114" s="343"/>
      <c r="ABM114" s="343"/>
      <c r="ABN114" s="343"/>
      <c r="ABO114" s="343"/>
      <c r="ABP114" s="343"/>
      <c r="ABQ114" s="343"/>
      <c r="ABR114" s="343"/>
      <c r="ABS114" s="343"/>
      <c r="ABT114" s="343"/>
      <c r="ABU114" s="343"/>
      <c r="ABV114" s="343"/>
      <c r="ABW114" s="343"/>
      <c r="ABX114" s="343"/>
      <c r="ABY114" s="343"/>
      <c r="ABZ114" s="343"/>
      <c r="ACA114" s="343"/>
      <c r="ACB114" s="343"/>
      <c r="ACC114" s="343"/>
      <c r="ACD114" s="343"/>
      <c r="ACE114" s="343"/>
      <c r="ACF114" s="343"/>
      <c r="ACG114" s="343"/>
      <c r="ACH114" s="343"/>
      <c r="ACI114" s="343"/>
      <c r="ACJ114" s="343"/>
      <c r="ACK114" s="343"/>
      <c r="ACL114" s="343"/>
      <c r="ACM114" s="343"/>
      <c r="ACN114" s="343"/>
      <c r="ACO114" s="343"/>
      <c r="ACP114" s="343"/>
      <c r="ACQ114" s="343"/>
      <c r="ACR114" s="343"/>
      <c r="ACS114" s="343"/>
      <c r="ACT114" s="343"/>
      <c r="ACU114" s="343"/>
      <c r="ACV114" s="343"/>
      <c r="ACW114" s="343"/>
      <c r="ACX114" s="343"/>
      <c r="ACY114" s="343"/>
      <c r="ACZ114" s="343"/>
      <c r="ADA114" s="343"/>
      <c r="ADB114" s="343"/>
      <c r="ADC114" s="343"/>
      <c r="ADD114" s="343"/>
      <c r="ADE114" s="343"/>
      <c r="ADF114" s="343"/>
      <c r="ADG114" s="343"/>
      <c r="ADH114" s="343"/>
      <c r="ADI114" s="343"/>
      <c r="ADJ114" s="343"/>
      <c r="ADK114" s="343"/>
      <c r="ADL114" s="343"/>
      <c r="ADM114" s="343"/>
      <c r="ADN114" s="343"/>
      <c r="ADO114" s="343"/>
      <c r="ADP114" s="343"/>
      <c r="ADQ114" s="343"/>
      <c r="ADR114" s="343"/>
      <c r="ADS114" s="343"/>
      <c r="ADT114" s="343"/>
      <c r="ADU114" s="343"/>
      <c r="ADV114" s="343"/>
      <c r="ADW114" s="343"/>
      <c r="ADX114" s="343"/>
      <c r="ADY114" s="343"/>
      <c r="ADZ114" s="343"/>
      <c r="AEA114" s="343"/>
      <c r="AEB114" s="343"/>
      <c r="AEC114" s="343"/>
      <c r="AED114" s="343"/>
      <c r="AEE114" s="343"/>
      <c r="AEF114" s="343"/>
      <c r="AEG114" s="343"/>
      <c r="AEH114" s="343"/>
      <c r="AEI114" s="343"/>
      <c r="AEJ114" s="343"/>
      <c r="AEK114" s="343"/>
      <c r="AEL114" s="343"/>
      <c r="AEM114" s="343"/>
      <c r="AEN114" s="343"/>
      <c r="AEO114" s="343"/>
      <c r="AEP114" s="343"/>
      <c r="AEQ114" s="343"/>
      <c r="AER114" s="343"/>
      <c r="AES114" s="343"/>
      <c r="AET114" s="343"/>
      <c r="AEU114" s="343"/>
      <c r="AEV114" s="343"/>
      <c r="AEW114" s="343"/>
      <c r="AEX114" s="343"/>
      <c r="AEY114" s="343"/>
      <c r="AEZ114" s="343"/>
      <c r="AFA114" s="343"/>
      <c r="AFB114" s="343"/>
      <c r="AFC114" s="343"/>
      <c r="AFD114" s="343"/>
      <c r="AFE114" s="343"/>
      <c r="AFF114" s="343"/>
      <c r="AFG114" s="343"/>
      <c r="AFH114" s="343"/>
      <c r="AFI114" s="343"/>
      <c r="AFJ114" s="343"/>
      <c r="AFK114" s="343"/>
      <c r="AFL114" s="343"/>
      <c r="AFM114" s="343"/>
      <c r="AFN114" s="343"/>
      <c r="AFO114" s="343"/>
      <c r="AFP114" s="343"/>
      <c r="AFQ114" s="343"/>
      <c r="AFR114" s="343"/>
      <c r="AFS114" s="343"/>
      <c r="AFT114" s="343"/>
      <c r="AFU114" s="343"/>
      <c r="AFV114" s="343"/>
      <c r="AFW114" s="343"/>
      <c r="AFX114" s="343"/>
      <c r="AFY114" s="343"/>
      <c r="AFZ114" s="343"/>
      <c r="AGA114" s="343"/>
      <c r="AGB114" s="343"/>
      <c r="AGC114" s="343"/>
      <c r="AGD114" s="343"/>
      <c r="AGE114" s="343"/>
      <c r="AGF114" s="343"/>
      <c r="AGG114" s="343"/>
      <c r="AGH114" s="343"/>
      <c r="AGI114" s="343"/>
      <c r="AGJ114" s="343"/>
      <c r="AGK114" s="343"/>
      <c r="AGL114" s="343"/>
      <c r="AGM114" s="343"/>
      <c r="AGN114" s="343"/>
      <c r="AGO114" s="343"/>
      <c r="AGP114" s="343"/>
      <c r="AGQ114" s="343"/>
      <c r="AGR114" s="343"/>
      <c r="AGS114" s="343"/>
      <c r="AGT114" s="343"/>
      <c r="AGU114" s="343"/>
      <c r="AGV114" s="343"/>
      <c r="AGW114" s="343"/>
      <c r="AGX114" s="343"/>
      <c r="AGY114" s="343"/>
      <c r="AGZ114" s="343"/>
      <c r="AHA114" s="343"/>
      <c r="AHB114" s="343"/>
      <c r="AHC114" s="343"/>
      <c r="AHD114" s="343"/>
      <c r="AHE114" s="343"/>
      <c r="AHF114" s="343"/>
      <c r="AHG114" s="343"/>
      <c r="AHH114" s="343"/>
      <c r="AHI114" s="343"/>
      <c r="AHJ114" s="343"/>
      <c r="AHK114" s="343"/>
      <c r="AHL114" s="343"/>
      <c r="AHM114" s="343"/>
      <c r="AHN114" s="343"/>
      <c r="AHO114" s="343"/>
      <c r="AHP114" s="343"/>
      <c r="AHQ114" s="343"/>
      <c r="AHR114" s="343"/>
      <c r="AHS114" s="343"/>
      <c r="AHT114" s="343"/>
      <c r="AHU114" s="343"/>
      <c r="AHV114" s="343"/>
      <c r="AHW114" s="343"/>
      <c r="AHX114" s="343"/>
      <c r="AHY114" s="343"/>
      <c r="AHZ114" s="343"/>
      <c r="AIA114" s="343"/>
      <c r="AIB114" s="343"/>
      <c r="AIC114" s="343"/>
      <c r="AID114" s="343"/>
      <c r="AIE114" s="343"/>
      <c r="AIF114" s="343"/>
      <c r="AIG114" s="343"/>
      <c r="AIH114" s="343"/>
      <c r="AII114" s="343"/>
      <c r="AIJ114" s="343"/>
      <c r="AIK114" s="343"/>
      <c r="AIL114" s="343"/>
      <c r="AIM114" s="343"/>
      <c r="AIN114" s="343"/>
      <c r="AIO114" s="343"/>
      <c r="AIP114" s="343"/>
      <c r="AIQ114" s="343"/>
      <c r="AIR114" s="343"/>
      <c r="AIS114" s="343"/>
      <c r="AIT114" s="343"/>
      <c r="AIU114" s="343"/>
      <c r="AIV114" s="343"/>
      <c r="AIW114" s="343"/>
      <c r="AIX114" s="343"/>
      <c r="AIY114" s="343"/>
      <c r="AIZ114" s="343"/>
      <c r="AJA114" s="343"/>
      <c r="AJB114" s="343"/>
      <c r="AJC114" s="343"/>
      <c r="AJD114" s="343"/>
      <c r="AJE114" s="343"/>
      <c r="AJF114" s="343"/>
      <c r="AJG114" s="343"/>
      <c r="AJH114" s="343"/>
      <c r="AJI114" s="343"/>
      <c r="AJJ114" s="343"/>
      <c r="AJK114" s="343"/>
      <c r="AJL114" s="343"/>
      <c r="AJM114" s="343"/>
      <c r="AJN114" s="343"/>
      <c r="AJO114" s="343"/>
      <c r="AJP114" s="343"/>
      <c r="AJQ114" s="343"/>
      <c r="AJR114" s="343"/>
      <c r="AJS114" s="343"/>
      <c r="AJT114" s="343"/>
      <c r="AJU114" s="343"/>
      <c r="AJV114" s="343"/>
      <c r="AJW114" s="343"/>
      <c r="AJX114" s="343"/>
      <c r="AJY114" s="343"/>
      <c r="AJZ114" s="343"/>
      <c r="AKA114" s="343"/>
      <c r="AKB114" s="343"/>
      <c r="AKC114" s="343"/>
      <c r="AKD114" s="343"/>
      <c r="AKE114" s="343"/>
      <c r="AKF114" s="343"/>
      <c r="AKG114" s="343"/>
      <c r="AKH114" s="343"/>
      <c r="AKI114" s="343"/>
      <c r="AKJ114" s="343"/>
      <c r="AKK114" s="343"/>
      <c r="AKL114" s="343"/>
      <c r="AKM114" s="343"/>
      <c r="AKN114" s="343"/>
      <c r="AKO114" s="343"/>
      <c r="AKP114" s="343"/>
      <c r="AKQ114" s="343"/>
      <c r="AKR114" s="343"/>
      <c r="AKS114" s="343"/>
      <c r="AKT114" s="343"/>
      <c r="AKU114" s="343"/>
      <c r="AKV114" s="343"/>
      <c r="AKW114" s="343"/>
      <c r="AKX114" s="343"/>
      <c r="AKY114" s="343"/>
      <c r="AKZ114" s="343"/>
      <c r="ALA114" s="343"/>
      <c r="ALB114" s="343"/>
      <c r="ALC114" s="343"/>
      <c r="ALD114" s="343"/>
      <c r="ALE114" s="343"/>
      <c r="ALF114" s="343"/>
      <c r="ALG114" s="343"/>
      <c r="ALH114" s="343"/>
      <c r="ALI114" s="343"/>
      <c r="ALJ114" s="343"/>
      <c r="ALK114" s="343"/>
      <c r="ALL114" s="343"/>
      <c r="ALM114" s="343"/>
      <c r="ALN114" s="343"/>
      <c r="ALO114" s="343"/>
      <c r="ALP114" s="343"/>
      <c r="ALQ114" s="343"/>
      <c r="ALR114" s="343"/>
      <c r="ALS114" s="343"/>
      <c r="ALT114" s="343"/>
      <c r="ALU114" s="343"/>
      <c r="ALV114" s="343"/>
      <c r="ALW114" s="343"/>
      <c r="ALX114" s="343"/>
      <c r="ALY114" s="343"/>
      <c r="ALZ114" s="343"/>
      <c r="AMA114" s="343"/>
      <c r="AMB114" s="343"/>
      <c r="AMC114" s="343"/>
      <c r="AMD114" s="343"/>
      <c r="AME114" s="343"/>
      <c r="AMF114" s="343"/>
      <c r="AMG114" s="343"/>
      <c r="AMH114" s="343"/>
      <c r="AMI114" s="343"/>
      <c r="AMJ114" s="343"/>
      <c r="AMK114" s="343"/>
      <c r="AML114" s="343"/>
      <c r="AMM114" s="343"/>
      <c r="AMN114" s="343"/>
      <c r="AMO114" s="343"/>
      <c r="AMP114" s="343"/>
      <c r="AMQ114" s="343"/>
      <c r="AMR114" s="343"/>
      <c r="AMS114" s="343"/>
    </row>
    <row r="115" spans="1:1034" s="345" customFormat="1" ht="60">
      <c r="A115" s="774"/>
      <c r="B115" s="346" t="s">
        <v>261</v>
      </c>
      <c r="C115" s="344">
        <f>P37-P41+P27+P24</f>
        <v>34961679.969999999</v>
      </c>
      <c r="D115" s="344">
        <f>Q37-Q41+Q27+Q24</f>
        <v>34598488.829999998</v>
      </c>
      <c r="E115" s="344"/>
      <c r="F115" s="344"/>
      <c r="G115" s="344">
        <f>T37-T41+T27+T24</f>
        <v>35714440</v>
      </c>
      <c r="H115" s="344"/>
      <c r="I115" s="344"/>
      <c r="J115" s="344">
        <f>W37-W41+W27+W24</f>
        <v>35803120</v>
      </c>
      <c r="K115" s="344"/>
      <c r="L115" s="344"/>
      <c r="M115" s="347"/>
      <c r="N115" s="348"/>
      <c r="O115" s="343"/>
      <c r="P115" s="343"/>
      <c r="Q115" s="343"/>
      <c r="R115" s="343"/>
      <c r="S115" s="343"/>
      <c r="T115" s="343"/>
      <c r="U115" s="343"/>
      <c r="V115" s="343"/>
      <c r="W115" s="343"/>
      <c r="X115" s="343"/>
      <c r="Y115" s="343"/>
      <c r="Z115" s="343"/>
      <c r="AA115" s="343"/>
      <c r="AB115" s="343"/>
      <c r="AC115" s="343"/>
      <c r="AD115" s="343"/>
      <c r="AE115" s="343"/>
      <c r="AF115" s="343"/>
      <c r="AG115" s="343"/>
      <c r="AH115" s="343"/>
      <c r="AI115" s="343"/>
      <c r="AJ115" s="343"/>
      <c r="AK115" s="343"/>
      <c r="AL115" s="343"/>
      <c r="AM115" s="343"/>
      <c r="AN115" s="343"/>
      <c r="AO115" s="343"/>
      <c r="AP115" s="343"/>
      <c r="AQ115" s="343"/>
      <c r="AR115" s="343"/>
      <c r="AS115" s="343"/>
      <c r="AT115" s="343"/>
      <c r="AU115" s="343"/>
      <c r="AV115" s="343"/>
      <c r="AW115" s="343"/>
      <c r="AX115" s="343"/>
      <c r="AY115" s="343"/>
      <c r="AZ115" s="343"/>
      <c r="BA115" s="343"/>
      <c r="BB115" s="343"/>
      <c r="BC115" s="343"/>
      <c r="BD115" s="343"/>
      <c r="BE115" s="343"/>
      <c r="BF115" s="343"/>
      <c r="BG115" s="343"/>
      <c r="BH115" s="343"/>
      <c r="BI115" s="343"/>
      <c r="BJ115" s="343"/>
      <c r="BK115" s="343"/>
      <c r="BL115" s="343"/>
      <c r="BM115" s="343"/>
      <c r="BN115" s="343"/>
      <c r="BO115" s="343"/>
      <c r="BP115" s="343"/>
      <c r="BQ115" s="343"/>
      <c r="BR115" s="343"/>
      <c r="BS115" s="343"/>
      <c r="BT115" s="343"/>
      <c r="BU115" s="343"/>
      <c r="BV115" s="343"/>
      <c r="BW115" s="343"/>
      <c r="BX115" s="343"/>
      <c r="BY115" s="343"/>
      <c r="BZ115" s="343"/>
      <c r="CA115" s="343"/>
      <c r="CB115" s="343"/>
      <c r="CC115" s="343"/>
      <c r="CD115" s="343"/>
      <c r="CE115" s="343"/>
      <c r="CF115" s="343"/>
      <c r="CG115" s="343"/>
      <c r="CH115" s="343"/>
      <c r="CI115" s="343"/>
      <c r="CJ115" s="343"/>
      <c r="CK115" s="343"/>
      <c r="CL115" s="343"/>
      <c r="CM115" s="343"/>
      <c r="CN115" s="343"/>
      <c r="CO115" s="343"/>
      <c r="CP115" s="343"/>
      <c r="CQ115" s="343"/>
      <c r="CR115" s="343"/>
      <c r="CS115" s="343"/>
      <c r="CT115" s="343"/>
      <c r="CU115" s="343"/>
      <c r="CV115" s="343"/>
      <c r="CW115" s="343"/>
      <c r="CX115" s="343"/>
      <c r="CY115" s="343"/>
      <c r="CZ115" s="343"/>
      <c r="DA115" s="343"/>
      <c r="DB115" s="343"/>
      <c r="DC115" s="343"/>
      <c r="DD115" s="343"/>
      <c r="DE115" s="343"/>
      <c r="DF115" s="343"/>
      <c r="DG115" s="343"/>
      <c r="DH115" s="343"/>
      <c r="DI115" s="343"/>
      <c r="DJ115" s="343"/>
      <c r="DK115" s="343"/>
      <c r="DL115" s="343"/>
      <c r="DM115" s="343"/>
      <c r="DN115" s="343"/>
      <c r="DO115" s="343"/>
      <c r="DP115" s="343"/>
      <c r="DQ115" s="343"/>
      <c r="DR115" s="343"/>
      <c r="DS115" s="343"/>
      <c r="DT115" s="343"/>
      <c r="DU115" s="343"/>
      <c r="DV115" s="343"/>
      <c r="DW115" s="343"/>
      <c r="DX115" s="343"/>
      <c r="DY115" s="343"/>
      <c r="DZ115" s="343"/>
      <c r="EA115" s="343"/>
      <c r="EB115" s="343"/>
      <c r="EC115" s="343"/>
      <c r="ED115" s="343"/>
      <c r="EE115" s="343"/>
      <c r="EF115" s="343"/>
      <c r="EG115" s="343"/>
      <c r="EH115" s="343"/>
      <c r="EI115" s="343"/>
      <c r="EJ115" s="343"/>
      <c r="EK115" s="343"/>
      <c r="EL115" s="343"/>
      <c r="EM115" s="343"/>
      <c r="EN115" s="343"/>
      <c r="EO115" s="343"/>
      <c r="EP115" s="343"/>
      <c r="EQ115" s="343"/>
      <c r="ER115" s="343"/>
      <c r="ES115" s="343"/>
      <c r="ET115" s="343"/>
      <c r="EU115" s="343"/>
      <c r="EV115" s="343"/>
      <c r="EW115" s="343"/>
      <c r="EX115" s="343"/>
      <c r="EY115" s="343"/>
      <c r="EZ115" s="343"/>
      <c r="FA115" s="343"/>
      <c r="FB115" s="343"/>
      <c r="FC115" s="343"/>
      <c r="FD115" s="343"/>
      <c r="FE115" s="343"/>
      <c r="FF115" s="343"/>
      <c r="FG115" s="343"/>
      <c r="FH115" s="343"/>
      <c r="FI115" s="343"/>
      <c r="FJ115" s="343"/>
      <c r="FK115" s="343"/>
      <c r="FL115" s="343"/>
      <c r="FM115" s="343"/>
      <c r="FN115" s="343"/>
      <c r="FO115" s="343"/>
      <c r="FP115" s="343"/>
      <c r="FQ115" s="343"/>
      <c r="FR115" s="343"/>
      <c r="FS115" s="343"/>
      <c r="FT115" s="343"/>
      <c r="FU115" s="343"/>
      <c r="FV115" s="343"/>
      <c r="FW115" s="343"/>
      <c r="FX115" s="343"/>
      <c r="FY115" s="343"/>
      <c r="FZ115" s="343"/>
      <c r="GA115" s="343"/>
      <c r="GB115" s="343"/>
      <c r="GC115" s="343"/>
      <c r="GD115" s="343"/>
      <c r="GE115" s="343"/>
      <c r="GF115" s="343"/>
      <c r="GG115" s="343"/>
      <c r="GH115" s="343"/>
      <c r="GI115" s="343"/>
      <c r="GJ115" s="343"/>
      <c r="GK115" s="343"/>
      <c r="GL115" s="343"/>
      <c r="GM115" s="343"/>
      <c r="GN115" s="343"/>
      <c r="GO115" s="343"/>
      <c r="GP115" s="343"/>
      <c r="GQ115" s="343"/>
      <c r="GR115" s="343"/>
      <c r="GS115" s="343"/>
      <c r="GT115" s="343"/>
      <c r="GU115" s="343"/>
      <c r="GV115" s="343"/>
      <c r="GW115" s="343"/>
      <c r="GX115" s="343"/>
      <c r="GY115" s="343"/>
      <c r="GZ115" s="343"/>
      <c r="HA115" s="343"/>
      <c r="HB115" s="343"/>
      <c r="HC115" s="343"/>
      <c r="HD115" s="343"/>
      <c r="HE115" s="343"/>
      <c r="HF115" s="343"/>
      <c r="HG115" s="343"/>
      <c r="HH115" s="343"/>
      <c r="HI115" s="343"/>
      <c r="HJ115" s="343"/>
      <c r="HK115" s="343"/>
      <c r="HL115" s="343"/>
      <c r="HM115" s="343"/>
      <c r="HN115" s="343"/>
      <c r="HO115" s="343"/>
      <c r="HP115" s="343"/>
      <c r="HQ115" s="343"/>
      <c r="HR115" s="343"/>
      <c r="HS115" s="343"/>
      <c r="HT115" s="343"/>
      <c r="HU115" s="343"/>
      <c r="HV115" s="343"/>
      <c r="HW115" s="343"/>
      <c r="HX115" s="343"/>
      <c r="HY115" s="343"/>
      <c r="HZ115" s="343"/>
      <c r="IA115" s="343"/>
      <c r="IB115" s="343"/>
      <c r="IC115" s="343"/>
      <c r="ID115" s="343"/>
      <c r="IE115" s="343"/>
      <c r="IF115" s="343"/>
      <c r="IG115" s="343"/>
      <c r="IH115" s="343"/>
      <c r="II115" s="343"/>
      <c r="IJ115" s="343"/>
      <c r="IK115" s="343"/>
      <c r="IL115" s="343"/>
      <c r="IM115" s="343"/>
      <c r="IN115" s="343"/>
      <c r="IO115" s="343"/>
      <c r="IP115" s="343"/>
      <c r="IQ115" s="343"/>
      <c r="IR115" s="343"/>
      <c r="IS115" s="343"/>
      <c r="IT115" s="343"/>
      <c r="IU115" s="343"/>
      <c r="IV115" s="343"/>
      <c r="IW115" s="343"/>
      <c r="IX115" s="343"/>
      <c r="IY115" s="343"/>
      <c r="IZ115" s="343"/>
      <c r="JA115" s="343"/>
      <c r="JB115" s="343"/>
      <c r="JC115" s="343"/>
      <c r="JD115" s="343"/>
      <c r="JE115" s="343"/>
      <c r="JF115" s="343"/>
      <c r="JG115" s="343"/>
      <c r="JH115" s="343"/>
      <c r="JI115" s="343"/>
      <c r="JJ115" s="343"/>
      <c r="JK115" s="343"/>
      <c r="JL115" s="343"/>
      <c r="JM115" s="343"/>
      <c r="JN115" s="343"/>
      <c r="JO115" s="343"/>
      <c r="JP115" s="343"/>
      <c r="JQ115" s="343"/>
      <c r="JR115" s="343"/>
      <c r="JS115" s="343"/>
      <c r="JT115" s="343"/>
      <c r="JU115" s="343"/>
      <c r="JV115" s="343"/>
      <c r="JW115" s="343"/>
      <c r="JX115" s="343"/>
      <c r="JY115" s="343"/>
      <c r="JZ115" s="343"/>
      <c r="KA115" s="343"/>
      <c r="KB115" s="343"/>
      <c r="KC115" s="343"/>
      <c r="KD115" s="343"/>
      <c r="KE115" s="343"/>
      <c r="KF115" s="343"/>
      <c r="KG115" s="343"/>
      <c r="KH115" s="343"/>
      <c r="KI115" s="343"/>
      <c r="KJ115" s="343"/>
      <c r="KK115" s="343"/>
      <c r="KL115" s="343"/>
      <c r="KM115" s="343"/>
      <c r="KN115" s="343"/>
      <c r="KO115" s="343"/>
      <c r="KP115" s="343"/>
      <c r="KQ115" s="343"/>
      <c r="KR115" s="343"/>
      <c r="KS115" s="343"/>
      <c r="KT115" s="343"/>
      <c r="KU115" s="343"/>
      <c r="KV115" s="343"/>
      <c r="KW115" s="343"/>
      <c r="KX115" s="343"/>
      <c r="KY115" s="343"/>
      <c r="KZ115" s="343"/>
      <c r="LA115" s="343"/>
      <c r="LB115" s="343"/>
      <c r="LC115" s="343"/>
      <c r="LD115" s="343"/>
      <c r="LE115" s="343"/>
      <c r="LF115" s="343"/>
      <c r="LG115" s="343"/>
      <c r="LH115" s="343"/>
      <c r="LI115" s="343"/>
      <c r="LJ115" s="343"/>
      <c r="LK115" s="343"/>
      <c r="LL115" s="343"/>
      <c r="LM115" s="343"/>
      <c r="LN115" s="343"/>
      <c r="LO115" s="343"/>
      <c r="LP115" s="343"/>
      <c r="LQ115" s="343"/>
      <c r="LR115" s="343"/>
      <c r="LS115" s="343"/>
      <c r="LT115" s="343"/>
      <c r="LU115" s="343"/>
      <c r="LV115" s="343"/>
      <c r="LW115" s="343"/>
      <c r="LX115" s="343"/>
      <c r="LY115" s="343"/>
      <c r="LZ115" s="343"/>
      <c r="MA115" s="343"/>
      <c r="MB115" s="343"/>
      <c r="MC115" s="343"/>
      <c r="MD115" s="343"/>
      <c r="ME115" s="343"/>
      <c r="MF115" s="343"/>
      <c r="MG115" s="343"/>
      <c r="MH115" s="343"/>
      <c r="MI115" s="343"/>
      <c r="MJ115" s="343"/>
      <c r="MK115" s="343"/>
      <c r="ML115" s="343"/>
      <c r="MM115" s="343"/>
      <c r="MN115" s="343"/>
      <c r="MO115" s="343"/>
      <c r="MP115" s="343"/>
      <c r="MQ115" s="343"/>
      <c r="MR115" s="343"/>
      <c r="MS115" s="343"/>
      <c r="MT115" s="343"/>
      <c r="MU115" s="343"/>
      <c r="MV115" s="343"/>
      <c r="MW115" s="343"/>
      <c r="MX115" s="343"/>
      <c r="MY115" s="343"/>
      <c r="MZ115" s="343"/>
      <c r="NA115" s="343"/>
      <c r="NB115" s="343"/>
      <c r="NC115" s="343"/>
      <c r="ND115" s="343"/>
      <c r="NE115" s="343"/>
      <c r="NF115" s="343"/>
      <c r="NG115" s="343"/>
      <c r="NH115" s="343"/>
      <c r="NI115" s="343"/>
      <c r="NJ115" s="343"/>
      <c r="NK115" s="343"/>
      <c r="NL115" s="343"/>
      <c r="NM115" s="343"/>
      <c r="NN115" s="343"/>
      <c r="NO115" s="343"/>
      <c r="NP115" s="343"/>
      <c r="NQ115" s="343"/>
      <c r="NR115" s="343"/>
      <c r="NS115" s="343"/>
      <c r="NT115" s="343"/>
      <c r="NU115" s="343"/>
      <c r="NV115" s="343"/>
      <c r="NW115" s="343"/>
      <c r="NX115" s="343"/>
      <c r="NY115" s="343"/>
      <c r="NZ115" s="343"/>
      <c r="OA115" s="343"/>
      <c r="OB115" s="343"/>
      <c r="OC115" s="343"/>
      <c r="OD115" s="343"/>
      <c r="OE115" s="343"/>
      <c r="OF115" s="343"/>
      <c r="OG115" s="343"/>
      <c r="OH115" s="343"/>
      <c r="OI115" s="343"/>
      <c r="OJ115" s="343"/>
      <c r="OK115" s="343"/>
      <c r="OL115" s="343"/>
      <c r="OM115" s="343"/>
      <c r="ON115" s="343"/>
      <c r="OO115" s="343"/>
      <c r="OP115" s="343"/>
      <c r="OQ115" s="343"/>
      <c r="OR115" s="343"/>
      <c r="OS115" s="343"/>
      <c r="OT115" s="343"/>
      <c r="OU115" s="343"/>
      <c r="OV115" s="343"/>
      <c r="OW115" s="343"/>
      <c r="OX115" s="343"/>
      <c r="OY115" s="343"/>
      <c r="OZ115" s="343"/>
      <c r="PA115" s="343"/>
      <c r="PB115" s="343"/>
      <c r="PC115" s="343"/>
      <c r="PD115" s="343"/>
      <c r="PE115" s="343"/>
      <c r="PF115" s="343"/>
      <c r="PG115" s="343"/>
      <c r="PH115" s="343"/>
      <c r="PI115" s="343"/>
      <c r="PJ115" s="343"/>
      <c r="PK115" s="343"/>
      <c r="PL115" s="343"/>
      <c r="PM115" s="343"/>
      <c r="PN115" s="343"/>
      <c r="PO115" s="343"/>
      <c r="PP115" s="343"/>
      <c r="PQ115" s="343"/>
      <c r="PR115" s="343"/>
      <c r="PS115" s="343"/>
      <c r="PT115" s="343"/>
      <c r="PU115" s="343"/>
      <c r="PV115" s="343"/>
      <c r="PW115" s="343"/>
      <c r="PX115" s="343"/>
      <c r="PY115" s="343"/>
      <c r="PZ115" s="343"/>
      <c r="QA115" s="343"/>
      <c r="QB115" s="343"/>
      <c r="QC115" s="343"/>
      <c r="QD115" s="343"/>
      <c r="QE115" s="343"/>
      <c r="QF115" s="343"/>
      <c r="QG115" s="343"/>
      <c r="QH115" s="343"/>
      <c r="QI115" s="343"/>
      <c r="QJ115" s="343"/>
      <c r="QK115" s="343"/>
      <c r="QL115" s="343"/>
      <c r="QM115" s="343"/>
      <c r="QN115" s="343"/>
      <c r="QO115" s="343"/>
      <c r="QP115" s="343"/>
      <c r="QQ115" s="343"/>
      <c r="QR115" s="343"/>
      <c r="QS115" s="343"/>
      <c r="QT115" s="343"/>
      <c r="QU115" s="343"/>
      <c r="QV115" s="343"/>
      <c r="QW115" s="343"/>
      <c r="QX115" s="343"/>
      <c r="QY115" s="343"/>
      <c r="QZ115" s="343"/>
      <c r="RA115" s="343"/>
      <c r="RB115" s="343"/>
      <c r="RC115" s="343"/>
      <c r="RD115" s="343"/>
      <c r="RE115" s="343"/>
      <c r="RF115" s="343"/>
      <c r="RG115" s="343"/>
      <c r="RH115" s="343"/>
      <c r="RI115" s="343"/>
      <c r="RJ115" s="343"/>
      <c r="RK115" s="343"/>
      <c r="RL115" s="343"/>
      <c r="RM115" s="343"/>
      <c r="RN115" s="343"/>
      <c r="RO115" s="343"/>
      <c r="RP115" s="343"/>
      <c r="RQ115" s="343"/>
      <c r="RR115" s="343"/>
      <c r="RS115" s="343"/>
      <c r="RT115" s="343"/>
      <c r="RU115" s="343"/>
      <c r="RV115" s="343"/>
      <c r="RW115" s="343"/>
      <c r="RX115" s="343"/>
      <c r="RY115" s="343"/>
      <c r="RZ115" s="343"/>
      <c r="SA115" s="343"/>
      <c r="SB115" s="343"/>
      <c r="SC115" s="343"/>
      <c r="SD115" s="343"/>
      <c r="SE115" s="343"/>
      <c r="SF115" s="343"/>
      <c r="SG115" s="343"/>
      <c r="SH115" s="343"/>
      <c r="SI115" s="343"/>
      <c r="SJ115" s="343"/>
      <c r="SK115" s="343"/>
      <c r="SL115" s="343"/>
      <c r="SM115" s="343"/>
      <c r="SN115" s="343"/>
      <c r="SO115" s="343"/>
      <c r="SP115" s="343"/>
      <c r="SQ115" s="343"/>
      <c r="SR115" s="343"/>
      <c r="SS115" s="343"/>
      <c r="ST115" s="343"/>
      <c r="SU115" s="343"/>
      <c r="SV115" s="343"/>
      <c r="SW115" s="343"/>
      <c r="SX115" s="343"/>
      <c r="SY115" s="343"/>
      <c r="SZ115" s="343"/>
      <c r="TA115" s="343"/>
      <c r="TB115" s="343"/>
      <c r="TC115" s="343"/>
      <c r="TD115" s="343"/>
      <c r="TE115" s="343"/>
      <c r="TF115" s="343"/>
      <c r="TG115" s="343"/>
      <c r="TH115" s="343"/>
      <c r="TI115" s="343"/>
      <c r="TJ115" s="343"/>
      <c r="TK115" s="343"/>
      <c r="TL115" s="343"/>
      <c r="TM115" s="343"/>
      <c r="TN115" s="343"/>
      <c r="TO115" s="343"/>
      <c r="TP115" s="343"/>
      <c r="TQ115" s="343"/>
      <c r="TR115" s="343"/>
      <c r="TS115" s="343"/>
      <c r="TT115" s="343"/>
      <c r="TU115" s="343"/>
      <c r="TV115" s="343"/>
      <c r="TW115" s="343"/>
      <c r="TX115" s="343"/>
      <c r="TY115" s="343"/>
      <c r="TZ115" s="343"/>
      <c r="UA115" s="343"/>
      <c r="UB115" s="343"/>
      <c r="UC115" s="343"/>
      <c r="UD115" s="343"/>
      <c r="UE115" s="343"/>
      <c r="UF115" s="343"/>
      <c r="UG115" s="343"/>
      <c r="UH115" s="343"/>
      <c r="UI115" s="343"/>
      <c r="UJ115" s="343"/>
      <c r="UK115" s="343"/>
      <c r="UL115" s="343"/>
      <c r="UM115" s="343"/>
      <c r="UN115" s="343"/>
      <c r="UO115" s="343"/>
      <c r="UP115" s="343"/>
      <c r="UQ115" s="343"/>
      <c r="UR115" s="343"/>
      <c r="US115" s="343"/>
      <c r="UT115" s="343"/>
      <c r="UU115" s="343"/>
      <c r="UV115" s="343"/>
      <c r="UW115" s="343"/>
      <c r="UX115" s="343"/>
      <c r="UY115" s="343"/>
      <c r="UZ115" s="343"/>
      <c r="VA115" s="343"/>
      <c r="VB115" s="343"/>
      <c r="VC115" s="343"/>
      <c r="VD115" s="343"/>
      <c r="VE115" s="343"/>
      <c r="VF115" s="343"/>
      <c r="VG115" s="343"/>
      <c r="VH115" s="343"/>
      <c r="VI115" s="343"/>
      <c r="VJ115" s="343"/>
      <c r="VK115" s="343"/>
      <c r="VL115" s="343"/>
      <c r="VM115" s="343"/>
      <c r="VN115" s="343"/>
      <c r="VO115" s="343"/>
      <c r="VP115" s="343"/>
      <c r="VQ115" s="343"/>
      <c r="VR115" s="343"/>
      <c r="VS115" s="343"/>
      <c r="VT115" s="343"/>
      <c r="VU115" s="343"/>
      <c r="VV115" s="343"/>
      <c r="VW115" s="343"/>
      <c r="VX115" s="343"/>
      <c r="VY115" s="343"/>
      <c r="VZ115" s="343"/>
      <c r="WA115" s="343"/>
      <c r="WB115" s="343"/>
      <c r="WC115" s="343"/>
      <c r="WD115" s="343"/>
      <c r="WE115" s="343"/>
      <c r="WF115" s="343"/>
      <c r="WG115" s="343"/>
      <c r="WH115" s="343"/>
      <c r="WI115" s="343"/>
      <c r="WJ115" s="343"/>
      <c r="WK115" s="343"/>
      <c r="WL115" s="343"/>
      <c r="WM115" s="343"/>
      <c r="WN115" s="343"/>
      <c r="WO115" s="343"/>
      <c r="WP115" s="343"/>
      <c r="WQ115" s="343"/>
      <c r="WR115" s="343"/>
      <c r="WS115" s="343"/>
      <c r="WT115" s="343"/>
      <c r="WU115" s="343"/>
      <c r="WV115" s="343"/>
      <c r="WW115" s="343"/>
      <c r="WX115" s="343"/>
      <c r="WY115" s="343"/>
      <c r="WZ115" s="343"/>
      <c r="XA115" s="343"/>
      <c r="XB115" s="343"/>
      <c r="XC115" s="343"/>
      <c r="XD115" s="343"/>
      <c r="XE115" s="343"/>
      <c r="XF115" s="343"/>
      <c r="XG115" s="343"/>
      <c r="XH115" s="343"/>
      <c r="XI115" s="343"/>
      <c r="XJ115" s="343"/>
      <c r="XK115" s="343"/>
      <c r="XL115" s="343"/>
      <c r="XM115" s="343"/>
      <c r="XN115" s="343"/>
      <c r="XO115" s="343"/>
      <c r="XP115" s="343"/>
      <c r="XQ115" s="343"/>
      <c r="XR115" s="343"/>
      <c r="XS115" s="343"/>
      <c r="XT115" s="343"/>
      <c r="XU115" s="343"/>
      <c r="XV115" s="343"/>
      <c r="XW115" s="343"/>
      <c r="XX115" s="343"/>
      <c r="XY115" s="343"/>
      <c r="XZ115" s="343"/>
      <c r="YA115" s="343"/>
      <c r="YB115" s="343"/>
      <c r="YC115" s="343"/>
      <c r="YD115" s="343"/>
      <c r="YE115" s="343"/>
      <c r="YF115" s="343"/>
      <c r="YG115" s="343"/>
      <c r="YH115" s="343"/>
      <c r="YI115" s="343"/>
      <c r="YJ115" s="343"/>
      <c r="YK115" s="343"/>
      <c r="YL115" s="343"/>
      <c r="YM115" s="343"/>
      <c r="YN115" s="343"/>
      <c r="YO115" s="343"/>
      <c r="YP115" s="343"/>
      <c r="YQ115" s="343"/>
      <c r="YR115" s="343"/>
      <c r="YS115" s="343"/>
      <c r="YT115" s="343"/>
      <c r="YU115" s="343"/>
      <c r="YV115" s="343"/>
      <c r="YW115" s="343"/>
      <c r="YX115" s="343"/>
      <c r="YY115" s="343"/>
      <c r="YZ115" s="343"/>
      <c r="ZA115" s="343"/>
      <c r="ZB115" s="343"/>
      <c r="ZC115" s="343"/>
      <c r="ZD115" s="343"/>
      <c r="ZE115" s="343"/>
      <c r="ZF115" s="343"/>
      <c r="ZG115" s="343"/>
      <c r="ZH115" s="343"/>
      <c r="ZI115" s="343"/>
      <c r="ZJ115" s="343"/>
      <c r="ZK115" s="343"/>
      <c r="ZL115" s="343"/>
      <c r="ZM115" s="343"/>
      <c r="ZN115" s="343"/>
      <c r="ZO115" s="343"/>
      <c r="ZP115" s="343"/>
      <c r="ZQ115" s="343"/>
      <c r="ZR115" s="343"/>
      <c r="ZS115" s="343"/>
      <c r="ZT115" s="343"/>
      <c r="ZU115" s="343"/>
      <c r="ZV115" s="343"/>
      <c r="ZW115" s="343"/>
      <c r="ZX115" s="343"/>
      <c r="ZY115" s="343"/>
      <c r="ZZ115" s="343"/>
      <c r="AAA115" s="343"/>
      <c r="AAB115" s="343"/>
      <c r="AAC115" s="343"/>
      <c r="AAD115" s="343"/>
      <c r="AAE115" s="343"/>
      <c r="AAF115" s="343"/>
      <c r="AAG115" s="343"/>
      <c r="AAH115" s="343"/>
      <c r="AAI115" s="343"/>
      <c r="AAJ115" s="343"/>
      <c r="AAK115" s="343"/>
      <c r="AAL115" s="343"/>
      <c r="AAM115" s="343"/>
      <c r="AAN115" s="343"/>
      <c r="AAO115" s="343"/>
      <c r="AAP115" s="343"/>
      <c r="AAQ115" s="343"/>
      <c r="AAR115" s="343"/>
      <c r="AAS115" s="343"/>
      <c r="AAT115" s="343"/>
      <c r="AAU115" s="343"/>
      <c r="AAV115" s="343"/>
      <c r="AAW115" s="343"/>
      <c r="AAX115" s="343"/>
      <c r="AAY115" s="343"/>
      <c r="AAZ115" s="343"/>
      <c r="ABA115" s="343"/>
      <c r="ABB115" s="343"/>
      <c r="ABC115" s="343"/>
      <c r="ABD115" s="343"/>
      <c r="ABE115" s="343"/>
      <c r="ABF115" s="343"/>
      <c r="ABG115" s="343"/>
      <c r="ABH115" s="343"/>
      <c r="ABI115" s="343"/>
      <c r="ABJ115" s="343"/>
      <c r="ABK115" s="343"/>
      <c r="ABL115" s="343"/>
      <c r="ABM115" s="343"/>
      <c r="ABN115" s="343"/>
      <c r="ABO115" s="343"/>
      <c r="ABP115" s="343"/>
      <c r="ABQ115" s="343"/>
      <c r="ABR115" s="343"/>
      <c r="ABS115" s="343"/>
      <c r="ABT115" s="343"/>
      <c r="ABU115" s="343"/>
      <c r="ABV115" s="343"/>
      <c r="ABW115" s="343"/>
      <c r="ABX115" s="343"/>
      <c r="ABY115" s="343"/>
      <c r="ABZ115" s="343"/>
      <c r="ACA115" s="343"/>
      <c r="ACB115" s="343"/>
      <c r="ACC115" s="343"/>
      <c r="ACD115" s="343"/>
      <c r="ACE115" s="343"/>
      <c r="ACF115" s="343"/>
      <c r="ACG115" s="343"/>
      <c r="ACH115" s="343"/>
      <c r="ACI115" s="343"/>
      <c r="ACJ115" s="343"/>
      <c r="ACK115" s="343"/>
      <c r="ACL115" s="343"/>
      <c r="ACM115" s="343"/>
      <c r="ACN115" s="343"/>
      <c r="ACO115" s="343"/>
      <c r="ACP115" s="343"/>
      <c r="ACQ115" s="343"/>
      <c r="ACR115" s="343"/>
      <c r="ACS115" s="343"/>
      <c r="ACT115" s="343"/>
      <c r="ACU115" s="343"/>
      <c r="ACV115" s="343"/>
      <c r="ACW115" s="343"/>
      <c r="ACX115" s="343"/>
      <c r="ACY115" s="343"/>
      <c r="ACZ115" s="343"/>
      <c r="ADA115" s="343"/>
      <c r="ADB115" s="343"/>
      <c r="ADC115" s="343"/>
      <c r="ADD115" s="343"/>
      <c r="ADE115" s="343"/>
      <c r="ADF115" s="343"/>
      <c r="ADG115" s="343"/>
      <c r="ADH115" s="343"/>
      <c r="ADI115" s="343"/>
      <c r="ADJ115" s="343"/>
      <c r="ADK115" s="343"/>
      <c r="ADL115" s="343"/>
      <c r="ADM115" s="343"/>
      <c r="ADN115" s="343"/>
      <c r="ADO115" s="343"/>
      <c r="ADP115" s="343"/>
      <c r="ADQ115" s="343"/>
      <c r="ADR115" s="343"/>
      <c r="ADS115" s="343"/>
      <c r="ADT115" s="343"/>
      <c r="ADU115" s="343"/>
      <c r="ADV115" s="343"/>
      <c r="ADW115" s="343"/>
      <c r="ADX115" s="343"/>
      <c r="ADY115" s="343"/>
      <c r="ADZ115" s="343"/>
      <c r="AEA115" s="343"/>
      <c r="AEB115" s="343"/>
      <c r="AEC115" s="343"/>
      <c r="AED115" s="343"/>
      <c r="AEE115" s="343"/>
      <c r="AEF115" s="343"/>
      <c r="AEG115" s="343"/>
      <c r="AEH115" s="343"/>
      <c r="AEI115" s="343"/>
      <c r="AEJ115" s="343"/>
      <c r="AEK115" s="343"/>
      <c r="AEL115" s="343"/>
      <c r="AEM115" s="343"/>
      <c r="AEN115" s="343"/>
      <c r="AEO115" s="343"/>
      <c r="AEP115" s="343"/>
      <c r="AEQ115" s="343"/>
      <c r="AER115" s="343"/>
      <c r="AES115" s="343"/>
      <c r="AET115" s="343"/>
      <c r="AEU115" s="343"/>
      <c r="AEV115" s="343"/>
      <c r="AEW115" s="343"/>
      <c r="AEX115" s="343"/>
      <c r="AEY115" s="343"/>
      <c r="AEZ115" s="343"/>
      <c r="AFA115" s="343"/>
      <c r="AFB115" s="343"/>
      <c r="AFC115" s="343"/>
      <c r="AFD115" s="343"/>
      <c r="AFE115" s="343"/>
      <c r="AFF115" s="343"/>
      <c r="AFG115" s="343"/>
      <c r="AFH115" s="343"/>
      <c r="AFI115" s="343"/>
      <c r="AFJ115" s="343"/>
      <c r="AFK115" s="343"/>
      <c r="AFL115" s="343"/>
      <c r="AFM115" s="343"/>
      <c r="AFN115" s="343"/>
      <c r="AFO115" s="343"/>
      <c r="AFP115" s="343"/>
      <c r="AFQ115" s="343"/>
      <c r="AFR115" s="343"/>
      <c r="AFS115" s="343"/>
      <c r="AFT115" s="343"/>
      <c r="AFU115" s="343"/>
      <c r="AFV115" s="343"/>
      <c r="AFW115" s="343"/>
      <c r="AFX115" s="343"/>
      <c r="AFY115" s="343"/>
      <c r="AFZ115" s="343"/>
      <c r="AGA115" s="343"/>
      <c r="AGB115" s="343"/>
      <c r="AGC115" s="343"/>
      <c r="AGD115" s="343"/>
      <c r="AGE115" s="343"/>
      <c r="AGF115" s="343"/>
      <c r="AGG115" s="343"/>
      <c r="AGH115" s="343"/>
      <c r="AGI115" s="343"/>
      <c r="AGJ115" s="343"/>
      <c r="AGK115" s="343"/>
      <c r="AGL115" s="343"/>
      <c r="AGM115" s="343"/>
      <c r="AGN115" s="343"/>
      <c r="AGO115" s="343"/>
      <c r="AGP115" s="343"/>
      <c r="AGQ115" s="343"/>
      <c r="AGR115" s="343"/>
      <c r="AGS115" s="343"/>
      <c r="AGT115" s="343"/>
      <c r="AGU115" s="343"/>
      <c r="AGV115" s="343"/>
      <c r="AGW115" s="343"/>
      <c r="AGX115" s="343"/>
      <c r="AGY115" s="343"/>
      <c r="AGZ115" s="343"/>
      <c r="AHA115" s="343"/>
      <c r="AHB115" s="343"/>
      <c r="AHC115" s="343"/>
      <c r="AHD115" s="343"/>
      <c r="AHE115" s="343"/>
      <c r="AHF115" s="343"/>
      <c r="AHG115" s="343"/>
      <c r="AHH115" s="343"/>
      <c r="AHI115" s="343"/>
      <c r="AHJ115" s="343"/>
      <c r="AHK115" s="343"/>
      <c r="AHL115" s="343"/>
      <c r="AHM115" s="343"/>
      <c r="AHN115" s="343"/>
      <c r="AHO115" s="343"/>
      <c r="AHP115" s="343"/>
      <c r="AHQ115" s="343"/>
      <c r="AHR115" s="343"/>
      <c r="AHS115" s="343"/>
      <c r="AHT115" s="343"/>
      <c r="AHU115" s="343"/>
      <c r="AHV115" s="343"/>
      <c r="AHW115" s="343"/>
      <c r="AHX115" s="343"/>
      <c r="AHY115" s="343"/>
      <c r="AHZ115" s="343"/>
      <c r="AIA115" s="343"/>
      <c r="AIB115" s="343"/>
      <c r="AIC115" s="343"/>
      <c r="AID115" s="343"/>
      <c r="AIE115" s="343"/>
      <c r="AIF115" s="343"/>
      <c r="AIG115" s="343"/>
      <c r="AIH115" s="343"/>
      <c r="AII115" s="343"/>
      <c r="AIJ115" s="343"/>
      <c r="AIK115" s="343"/>
      <c r="AIL115" s="343"/>
      <c r="AIM115" s="343"/>
      <c r="AIN115" s="343"/>
      <c r="AIO115" s="343"/>
      <c r="AIP115" s="343"/>
      <c r="AIQ115" s="343"/>
      <c r="AIR115" s="343"/>
      <c r="AIS115" s="343"/>
      <c r="AIT115" s="343"/>
      <c r="AIU115" s="343"/>
      <c r="AIV115" s="343"/>
      <c r="AIW115" s="343"/>
      <c r="AIX115" s="343"/>
      <c r="AIY115" s="343"/>
      <c r="AIZ115" s="343"/>
      <c r="AJA115" s="343"/>
      <c r="AJB115" s="343"/>
      <c r="AJC115" s="343"/>
      <c r="AJD115" s="343"/>
      <c r="AJE115" s="343"/>
      <c r="AJF115" s="343"/>
      <c r="AJG115" s="343"/>
      <c r="AJH115" s="343"/>
      <c r="AJI115" s="343"/>
      <c r="AJJ115" s="343"/>
      <c r="AJK115" s="343"/>
      <c r="AJL115" s="343"/>
      <c r="AJM115" s="343"/>
      <c r="AJN115" s="343"/>
      <c r="AJO115" s="343"/>
      <c r="AJP115" s="343"/>
      <c r="AJQ115" s="343"/>
      <c r="AJR115" s="343"/>
      <c r="AJS115" s="343"/>
      <c r="AJT115" s="343"/>
      <c r="AJU115" s="343"/>
      <c r="AJV115" s="343"/>
      <c r="AJW115" s="343"/>
      <c r="AJX115" s="343"/>
      <c r="AJY115" s="343"/>
      <c r="AJZ115" s="343"/>
      <c r="AKA115" s="343"/>
      <c r="AKB115" s="343"/>
      <c r="AKC115" s="343"/>
      <c r="AKD115" s="343"/>
      <c r="AKE115" s="343"/>
      <c r="AKF115" s="343"/>
      <c r="AKG115" s="343"/>
      <c r="AKH115" s="343"/>
      <c r="AKI115" s="343"/>
      <c r="AKJ115" s="343"/>
      <c r="AKK115" s="343"/>
      <c r="AKL115" s="343"/>
      <c r="AKM115" s="343"/>
      <c r="AKN115" s="343"/>
      <c r="AKO115" s="343"/>
      <c r="AKP115" s="343"/>
      <c r="AKQ115" s="343"/>
      <c r="AKR115" s="343"/>
      <c r="AKS115" s="343"/>
      <c r="AKT115" s="343"/>
      <c r="AKU115" s="343"/>
      <c r="AKV115" s="343"/>
      <c r="AKW115" s="343"/>
      <c r="AKX115" s="343"/>
      <c r="AKY115" s="343"/>
      <c r="AKZ115" s="343"/>
      <c r="ALA115" s="343"/>
      <c r="ALB115" s="343"/>
      <c r="ALC115" s="343"/>
      <c r="ALD115" s="343"/>
      <c r="ALE115" s="343"/>
      <c r="ALF115" s="343"/>
      <c r="ALG115" s="343"/>
      <c r="ALH115" s="343"/>
      <c r="ALI115" s="343"/>
      <c r="ALJ115" s="343"/>
      <c r="ALK115" s="343"/>
      <c r="ALL115" s="343"/>
      <c r="ALM115" s="343"/>
      <c r="ALN115" s="343"/>
      <c r="ALO115" s="343"/>
      <c r="ALP115" s="343"/>
      <c r="ALQ115" s="343"/>
      <c r="ALR115" s="343"/>
      <c r="ALS115" s="343"/>
      <c r="ALT115" s="343"/>
      <c r="ALU115" s="343"/>
      <c r="ALV115" s="343"/>
      <c r="ALW115" s="343"/>
      <c r="ALX115" s="343"/>
      <c r="ALY115" s="343"/>
      <c r="ALZ115" s="343"/>
      <c r="AMA115" s="343"/>
      <c r="AMB115" s="343"/>
      <c r="AMC115" s="343"/>
      <c r="AMD115" s="343"/>
      <c r="AME115" s="343"/>
      <c r="AMF115" s="343"/>
      <c r="AMG115" s="343"/>
      <c r="AMH115" s="343"/>
      <c r="AMI115" s="343"/>
      <c r="AMJ115" s="343"/>
      <c r="AMK115" s="343"/>
      <c r="AML115" s="343"/>
      <c r="AMM115" s="343"/>
      <c r="AMN115" s="343"/>
      <c r="AMO115" s="343"/>
      <c r="AMP115" s="343"/>
      <c r="AMQ115" s="343"/>
      <c r="AMR115" s="343"/>
      <c r="AMS115" s="343"/>
    </row>
    <row r="118" spans="1:1034" s="221" customFormat="1">
      <c r="B118" s="349" t="s">
        <v>262</v>
      </c>
      <c r="C118" s="414">
        <f>C119/C121</f>
        <v>0.56681852149835665</v>
      </c>
      <c r="D118" s="414">
        <f t="shared" ref="D118:M118" si="28">D119/D121</f>
        <v>0.53795217579502097</v>
      </c>
      <c r="E118" s="414"/>
      <c r="F118" s="414"/>
      <c r="G118" s="414">
        <f t="shared" si="28"/>
        <v>0.52681914043056866</v>
      </c>
      <c r="H118" s="414"/>
      <c r="I118" s="414"/>
      <c r="J118" s="414">
        <f t="shared" si="28"/>
        <v>0.50811372787859377</v>
      </c>
      <c r="K118" s="414"/>
      <c r="L118" s="414"/>
      <c r="M118" s="411" t="e">
        <f t="shared" si="28"/>
        <v>#DIV/0!</v>
      </c>
      <c r="O118" s="350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  <c r="AMJ118"/>
      <c r="AMK118"/>
      <c r="AML118"/>
      <c r="AMM118"/>
      <c r="AMN118"/>
      <c r="AMO118"/>
      <c r="AMP118"/>
      <c r="AMQ118"/>
      <c r="AMR118"/>
      <c r="AMS118"/>
      <c r="AMT118"/>
    </row>
    <row r="119" spans="1:1034" s="221" customFormat="1" ht="30">
      <c r="B119" s="148" t="s">
        <v>263</v>
      </c>
      <c r="C119" s="350">
        <f>P20+P28+P37</f>
        <v>45804657.169999994</v>
      </c>
      <c r="D119" s="350">
        <f>Q20+Q28+Q37</f>
        <v>47449948.829999998</v>
      </c>
      <c r="E119" s="350"/>
      <c r="F119" s="350"/>
      <c r="G119" s="350">
        <f>T20+T28+T37</f>
        <v>49251460</v>
      </c>
      <c r="H119" s="350"/>
      <c r="I119" s="350"/>
      <c r="J119" s="350">
        <f>W20+W28+W37</f>
        <v>49487020</v>
      </c>
      <c r="K119" s="350"/>
      <c r="L119" s="350"/>
      <c r="M119" s="350">
        <f>M92</f>
        <v>0</v>
      </c>
      <c r="N119" s="409">
        <f t="shared" ref="N119" si="29">J119-C119</f>
        <v>3682362.8300000057</v>
      </c>
      <c r="O119" s="411">
        <f t="shared" ref="O119" si="30">N119/C119</f>
        <v>8.0392760420261125E-2</v>
      </c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  <c r="AMJ119"/>
      <c r="AMK119"/>
      <c r="AML119"/>
      <c r="AMM119"/>
      <c r="AMN119"/>
      <c r="AMO119"/>
      <c r="AMP119"/>
      <c r="AMQ119"/>
      <c r="AMR119"/>
      <c r="AMS119"/>
      <c r="AMT119"/>
    </row>
    <row r="120" spans="1:1034" s="221" customFormat="1">
      <c r="B120"/>
      <c r="C120"/>
      <c r="D120"/>
      <c r="E120"/>
      <c r="F120"/>
      <c r="G120"/>
      <c r="H120"/>
      <c r="I120"/>
      <c r="J120"/>
      <c r="K120"/>
      <c r="L120"/>
      <c r="M120" s="350">
        <f>M93</f>
        <v>0</v>
      </c>
      <c r="N120" s="409"/>
      <c r="O120" s="411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  <c r="AMJ120"/>
      <c r="AMK120"/>
      <c r="AML120"/>
      <c r="AMM120"/>
      <c r="AMN120"/>
      <c r="AMO120"/>
      <c r="AMP120"/>
      <c r="AMQ120"/>
      <c r="AMR120"/>
      <c r="AMS120"/>
      <c r="AMT120"/>
    </row>
    <row r="121" spans="1:1034" s="221" customFormat="1">
      <c r="B121" t="s">
        <v>259</v>
      </c>
      <c r="C121" s="350">
        <f>C94</f>
        <v>80810092.530000001</v>
      </c>
      <c r="D121" s="350">
        <f>D94</f>
        <v>88204771.659999996</v>
      </c>
      <c r="E121" s="350"/>
      <c r="F121" s="350"/>
      <c r="G121" s="350">
        <f>G94</f>
        <v>93488364.829999998</v>
      </c>
      <c r="H121" s="350"/>
      <c r="I121" s="350"/>
      <c r="J121" s="350">
        <f>J94</f>
        <v>97393589.829999998</v>
      </c>
      <c r="K121" s="350"/>
      <c r="L121" s="350"/>
      <c r="M121" s="350">
        <f>M94</f>
        <v>0</v>
      </c>
      <c r="N121" s="409">
        <f>J121-C121</f>
        <v>16583497.299999997</v>
      </c>
      <c r="O121" s="411">
        <f>N121/C121</f>
        <v>0.20521567023133314</v>
      </c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  <c r="AMJ121"/>
      <c r="AMK121"/>
      <c r="AML121"/>
      <c r="AMM121"/>
      <c r="AMN121"/>
      <c r="AMO121"/>
      <c r="AMP121"/>
      <c r="AMQ121"/>
      <c r="AMR121"/>
      <c r="AMS121"/>
      <c r="AMT121"/>
    </row>
    <row r="122" spans="1:1034" s="221" customFormat="1">
      <c r="B122"/>
      <c r="C122"/>
      <c r="D122"/>
      <c r="E122"/>
      <c r="F122"/>
      <c r="G122"/>
      <c r="H122"/>
      <c r="I122"/>
      <c r="J122"/>
      <c r="K122"/>
      <c r="L122"/>
      <c r="M122"/>
      <c r="O122" s="350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  <c r="AMJ122"/>
      <c r="AMK122"/>
      <c r="AML122"/>
      <c r="AMM122"/>
      <c r="AMN122"/>
      <c r="AMO122"/>
      <c r="AMP122"/>
      <c r="AMQ122"/>
      <c r="AMR122"/>
      <c r="AMS122"/>
      <c r="AMT122"/>
    </row>
    <row r="123" spans="1:1034">
      <c r="O123" s="350"/>
    </row>
    <row r="124" spans="1:1034">
      <c r="O124" s="350"/>
    </row>
    <row r="125" spans="1:1034">
      <c r="O125" s="350"/>
    </row>
    <row r="126" spans="1:1034" s="221" customFormat="1">
      <c r="B126" t="s">
        <v>264</v>
      </c>
      <c r="C126" s="415">
        <f>P28/C94</f>
        <v>5.0494785641844878E-3</v>
      </c>
      <c r="D126" s="416">
        <f>Q28/D94</f>
        <v>2.0990474383140646E-2</v>
      </c>
      <c r="E126" s="416"/>
      <c r="F126" s="416"/>
      <c r="G126" s="416">
        <f>T28/G94</f>
        <v>1.6440762471297145E-2</v>
      </c>
      <c r="H126" s="416"/>
      <c r="I126" s="416"/>
      <c r="J126" s="416">
        <f>W28/J94</f>
        <v>1.2155830810492674E-2</v>
      </c>
      <c r="K126" s="416"/>
      <c r="L126" s="416"/>
      <c r="M126"/>
      <c r="O126" s="350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  <c r="AMJ126"/>
      <c r="AMK126"/>
      <c r="AML126"/>
      <c r="AMM126"/>
      <c r="AMN126"/>
      <c r="AMO126"/>
      <c r="AMP126"/>
      <c r="AMQ126"/>
      <c r="AMR126"/>
      <c r="AMS126"/>
      <c r="AMT126"/>
    </row>
    <row r="127" spans="1:1034">
      <c r="O127" s="350"/>
    </row>
    <row r="128" spans="1:1034">
      <c r="O128" s="350"/>
    </row>
    <row r="129" spans="2:1034">
      <c r="O129" s="350"/>
    </row>
    <row r="130" spans="2:1034" s="221" customFormat="1">
      <c r="B130" s="349" t="s">
        <v>265</v>
      </c>
      <c r="C130"/>
      <c r="D130"/>
      <c r="E130"/>
      <c r="F130"/>
      <c r="G130"/>
      <c r="H130"/>
      <c r="I130"/>
      <c r="J130"/>
      <c r="K130"/>
      <c r="L130"/>
      <c r="M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  <c r="AMJ130"/>
      <c r="AMK130"/>
      <c r="AML130"/>
      <c r="AMM130"/>
      <c r="AMN130"/>
      <c r="AMO130"/>
      <c r="AMP130"/>
      <c r="AMQ130"/>
      <c r="AMR130"/>
      <c r="AMS130"/>
      <c r="AMT130"/>
    </row>
    <row r="131" spans="2:1034" s="221" customFormat="1" ht="30">
      <c r="B131" s="148" t="s">
        <v>263</v>
      </c>
      <c r="C131" s="350">
        <f>P20+P28+P37</f>
        <v>45804657.169999994</v>
      </c>
      <c r="D131" s="350">
        <f>Q20+Q28+Q37</f>
        <v>47449948.829999998</v>
      </c>
      <c r="E131" s="350"/>
      <c r="F131" s="350"/>
      <c r="G131" s="350">
        <f>T20+T28+T37</f>
        <v>49251460</v>
      </c>
      <c r="H131" s="350"/>
      <c r="I131" s="350"/>
      <c r="J131" s="350">
        <f>W20+W28+W37</f>
        <v>49487020</v>
      </c>
      <c r="K131" s="350"/>
      <c r="L131" s="350"/>
      <c r="M131"/>
      <c r="O131"/>
      <c r="P131" s="386">
        <f>(D131-C131)/C131</f>
        <v>3.5919746192917615E-2</v>
      </c>
      <c r="Q131" s="386">
        <f>(G131-D131)/D131</f>
        <v>3.7966556643808332E-2</v>
      </c>
      <c r="R131" s="386"/>
      <c r="S131" s="386"/>
      <c r="T131" s="386">
        <f t="shared" ref="T131" si="31">(J131-G131)/G131</f>
        <v>4.7828023778381393E-3</v>
      </c>
      <c r="U131" s="386"/>
      <c r="V131" s="386"/>
      <c r="W131" s="386">
        <f>(J131-C131)/C131</f>
        <v>8.0392760420261125E-2</v>
      </c>
      <c r="X131" s="386"/>
      <c r="Y131" s="386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  <c r="AMJ131"/>
      <c r="AMK131"/>
      <c r="AML131"/>
      <c r="AMM131"/>
      <c r="AMN131"/>
      <c r="AMO131"/>
      <c r="AMP131"/>
      <c r="AMQ131"/>
      <c r="AMR131"/>
      <c r="AMS131"/>
      <c r="AMT131"/>
    </row>
    <row r="133" spans="2:1034" s="221" customFormat="1">
      <c r="B133" t="s">
        <v>266</v>
      </c>
      <c r="C133" s="351">
        <f>P7</f>
        <v>22641842.829999998</v>
      </c>
      <c r="D133" s="351">
        <f>Q7</f>
        <v>28305842.829999998</v>
      </c>
      <c r="E133" s="351"/>
      <c r="F133" s="351"/>
      <c r="G133" s="351">
        <f>T7</f>
        <v>34369842.829999998</v>
      </c>
      <c r="H133" s="351"/>
      <c r="I133" s="351"/>
      <c r="J133" s="351">
        <f>W7</f>
        <v>40684842.829999998</v>
      </c>
      <c r="K133" s="351"/>
      <c r="L133" s="351"/>
      <c r="M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/>
      <c r="AMK133"/>
      <c r="AML133"/>
      <c r="AMM133"/>
      <c r="AMN133"/>
      <c r="AMO133"/>
      <c r="AMP133"/>
      <c r="AMQ133"/>
      <c r="AMR133"/>
      <c r="AMS133"/>
      <c r="AMT133"/>
    </row>
    <row r="135" spans="2:1034">
      <c r="C135" s="344">
        <f>C131/C133</f>
        <v>2.0230092362141883</v>
      </c>
      <c r="D135" s="344">
        <f t="shared" ref="D135:J135" si="32">D131/D133</f>
        <v>1.6763305411881284</v>
      </c>
      <c r="E135" s="344"/>
      <c r="F135" s="344"/>
      <c r="G135" s="344">
        <f t="shared" si="32"/>
        <v>1.4329847315161552</v>
      </c>
      <c r="H135" s="344"/>
      <c r="I135" s="344"/>
      <c r="J135" s="344">
        <f t="shared" si="32"/>
        <v>1.2163502807858826</v>
      </c>
      <c r="K135" s="344"/>
      <c r="L135" s="344"/>
    </row>
  </sheetData>
  <mergeCells count="8">
    <mergeCell ref="A114:A115"/>
    <mergeCell ref="T4:W4"/>
    <mergeCell ref="A97:C97"/>
    <mergeCell ref="O97:Q97"/>
    <mergeCell ref="A98:C98"/>
    <mergeCell ref="O98:Q98"/>
    <mergeCell ref="C4:O4"/>
    <mergeCell ref="P4:Q4"/>
  </mergeCells>
  <pageMargins left="0.25" right="0.25" top="0.75" bottom="0.75" header="0.3" footer="0.3"/>
  <pageSetup paperSize="9" scale="63" fitToHeight="0" orientation="landscape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L66"/>
  <sheetViews>
    <sheetView topLeftCell="C1" zoomScale="70" zoomScaleNormal="70" workbookViewId="0">
      <pane ySplit="6" topLeftCell="A7" activePane="bottomLeft" state="frozen"/>
      <selection activeCell="J3" sqref="J3"/>
      <selection pane="bottomLeft" activeCell="K6" sqref="K6"/>
    </sheetView>
  </sheetViews>
  <sheetFormatPr defaultRowHeight="15"/>
  <cols>
    <col min="1" max="1" width="7.28515625" bestFit="1" customWidth="1"/>
    <col min="2" max="2" width="54.140625" customWidth="1"/>
    <col min="3" max="3" width="17.42578125" customWidth="1"/>
    <col min="4" max="4" width="16" customWidth="1"/>
    <col min="5" max="6" width="13.140625" customWidth="1"/>
    <col min="7" max="7" width="17.42578125" customWidth="1"/>
    <col min="8" max="9" width="15.42578125" customWidth="1"/>
    <col min="10" max="10" width="16" customWidth="1"/>
    <col min="11" max="12" width="15.42578125" customWidth="1"/>
  </cols>
  <sheetData>
    <row r="1" spans="1:12">
      <c r="A1" s="43"/>
      <c r="B1" s="42"/>
      <c r="C1" s="42"/>
      <c r="D1" s="42"/>
      <c r="G1" s="42"/>
      <c r="J1" s="42"/>
    </row>
    <row r="2" spans="1:12">
      <c r="A2" s="775" t="s">
        <v>0</v>
      </c>
      <c r="B2" s="775"/>
      <c r="C2" s="42"/>
      <c r="D2" s="42"/>
      <c r="G2" s="42"/>
      <c r="J2" s="42"/>
    </row>
    <row r="3" spans="1:12" ht="15.75" thickBot="1">
      <c r="A3" s="702" t="s">
        <v>120</v>
      </c>
      <c r="B3" s="702"/>
      <c r="C3" s="687" t="s">
        <v>205</v>
      </c>
      <c r="D3" s="687"/>
      <c r="G3" s="687" t="s">
        <v>205</v>
      </c>
      <c r="H3" s="687"/>
      <c r="I3" s="687"/>
      <c r="J3" s="687"/>
    </row>
    <row r="4" spans="1:12" ht="15" customHeight="1">
      <c r="A4" s="703" t="s">
        <v>189</v>
      </c>
      <c r="B4" s="703"/>
      <c r="C4" s="703"/>
      <c r="D4" s="703"/>
      <c r="E4" s="703"/>
      <c r="F4" s="703"/>
      <c r="G4" s="703"/>
      <c r="H4" s="703"/>
      <c r="I4" s="703"/>
      <c r="J4" s="703"/>
    </row>
    <row r="5" spans="1:12" ht="15.75" thickBot="1">
      <c r="A5" s="43"/>
      <c r="B5" s="42"/>
      <c r="C5" s="42"/>
      <c r="D5" s="44"/>
      <c r="G5" s="42"/>
      <c r="J5" s="44"/>
    </row>
    <row r="6" spans="1:12" ht="39.75" customHeight="1" thickBot="1">
      <c r="A6" s="297" t="s">
        <v>121</v>
      </c>
      <c r="B6" s="298" t="s">
        <v>122</v>
      </c>
      <c r="C6" s="300" t="str">
        <f ca="1">'RZiS 2022'!$D7</f>
        <v>2022</v>
      </c>
      <c r="D6" s="352" t="str">
        <f ca="1">'RZiS 2023'!$D7</f>
        <v>2023</v>
      </c>
      <c r="E6" s="353" t="str">
        <f ca="1">CONCATENATE("Różnica"," ",D6,"-",C6)</f>
        <v>Różnica 2023-2022</v>
      </c>
      <c r="F6" s="353" t="s">
        <v>209</v>
      </c>
      <c r="G6" s="354" t="str">
        <f ca="1">'RZiS 2024'!$D7</f>
        <v>2024</v>
      </c>
      <c r="H6" s="353" t="str">
        <f ca="1">CONCATENATE("Różnica"," ",G6,"-",D6)</f>
        <v>Różnica 2024-2023</v>
      </c>
      <c r="I6" s="353" t="s">
        <v>209</v>
      </c>
      <c r="J6" s="354" t="str">
        <f ca="1">'RZiS 2025'!$D7</f>
        <v>2025</v>
      </c>
      <c r="K6" s="353" t="str">
        <f ca="1">CONCATENATE("Różnica"," ",J6,"-",G6)</f>
        <v>Różnica 2025-2024</v>
      </c>
      <c r="L6" s="353" t="s">
        <v>209</v>
      </c>
    </row>
    <row r="7" spans="1:12" ht="29.25" customHeight="1" thickBot="1">
      <c r="A7" s="45" t="s">
        <v>5</v>
      </c>
      <c r="B7" s="243" t="s">
        <v>124</v>
      </c>
      <c r="C7" s="460">
        <f>'RZiS 2022'!$D8</f>
        <v>237021627.56999999</v>
      </c>
      <c r="D7" s="355">
        <f>'RZiS 2023'!$D8</f>
        <v>261654000</v>
      </c>
      <c r="E7" s="356">
        <f>D7-C7</f>
        <v>24632372.430000007</v>
      </c>
      <c r="F7" s="667">
        <f>E7/C7</f>
        <v>0.103924577189587</v>
      </c>
      <c r="G7" s="594">
        <f>'RZiS 2024'!$D8</f>
        <v>277324000</v>
      </c>
      <c r="H7" s="356">
        <f t="shared" ref="H7:H38" si="0">G7-D7</f>
        <v>15670000</v>
      </c>
      <c r="I7" s="667">
        <f>H7/D7</f>
        <v>5.9888249367485304E-2</v>
      </c>
      <c r="J7" s="594">
        <f>'RZiS 2025'!$D8</f>
        <v>297580000</v>
      </c>
      <c r="K7" s="357">
        <f t="shared" ref="K7:K38" si="1">J7-G7</f>
        <v>20256000</v>
      </c>
      <c r="L7" s="667">
        <f>K7/G7</f>
        <v>7.3040919646334246E-2</v>
      </c>
    </row>
    <row r="8" spans="1:12">
      <c r="A8" s="47"/>
      <c r="B8" s="244" t="s">
        <v>125</v>
      </c>
      <c r="C8" s="461">
        <f>'RZiS 2022'!$D9</f>
        <v>0</v>
      </c>
      <c r="D8" s="48">
        <f>'RZiS 2023'!$D9</f>
        <v>0</v>
      </c>
      <c r="E8" s="358">
        <f t="shared" ref="E8:E57" si="2">D8-C8</f>
        <v>0</v>
      </c>
      <c r="F8" s="668" t="e">
        <f t="shared" ref="F8:F57" si="3">E8/C8</f>
        <v>#DIV/0!</v>
      </c>
      <c r="G8" s="359">
        <f>'RZiS 2024'!$D9</f>
        <v>0</v>
      </c>
      <c r="H8" s="358">
        <f t="shared" si="0"/>
        <v>0</v>
      </c>
      <c r="I8" s="668" t="e">
        <f t="shared" ref="I8:I57" si="4">H8/D8</f>
        <v>#DIV/0!</v>
      </c>
      <c r="J8" s="359">
        <f>'RZiS 2025'!$D9</f>
        <v>0</v>
      </c>
      <c r="K8" s="358">
        <f t="shared" si="1"/>
        <v>0</v>
      </c>
      <c r="L8" s="668" t="e">
        <f t="shared" ref="L8:L57" si="5">K8/G8</f>
        <v>#DIV/0!</v>
      </c>
    </row>
    <row r="9" spans="1:12">
      <c r="A9" s="49" t="s">
        <v>8</v>
      </c>
      <c r="B9" s="245" t="s">
        <v>126</v>
      </c>
      <c r="C9" s="462">
        <f>'RZiS 2022'!$D10</f>
        <v>234121303.34</v>
      </c>
      <c r="D9" s="50">
        <f>'RZiS 2023'!$D10</f>
        <v>257654000</v>
      </c>
      <c r="E9" s="360">
        <f t="shared" si="2"/>
        <v>23532696.659999996</v>
      </c>
      <c r="F9" s="669">
        <f t="shared" si="3"/>
        <v>0.10051497375198234</v>
      </c>
      <c r="G9" s="361">
        <f>'RZiS 2024'!$D10</f>
        <v>273124000</v>
      </c>
      <c r="H9" s="360">
        <f t="shared" si="0"/>
        <v>15470000</v>
      </c>
      <c r="I9" s="669">
        <f t="shared" si="4"/>
        <v>6.004176143199795E-2</v>
      </c>
      <c r="J9" s="361">
        <f>'RZiS 2025'!$D10</f>
        <v>293380000</v>
      </c>
      <c r="K9" s="360">
        <f t="shared" si="1"/>
        <v>20256000</v>
      </c>
      <c r="L9" s="669">
        <f t="shared" si="5"/>
        <v>7.4164115932689914E-2</v>
      </c>
    </row>
    <row r="10" spans="1:12" ht="46.5" customHeight="1">
      <c r="A10" s="51" t="s">
        <v>11</v>
      </c>
      <c r="B10" s="246" t="s">
        <v>127</v>
      </c>
      <c r="C10" s="463">
        <f>'RZiS 2022'!$D11</f>
        <v>-1081815.74</v>
      </c>
      <c r="D10" s="52">
        <f>'RZiS 2023'!$D11</f>
        <v>0</v>
      </c>
      <c r="E10" s="362">
        <f t="shared" si="2"/>
        <v>1081815.74</v>
      </c>
      <c r="F10" s="670">
        <f t="shared" si="3"/>
        <v>-1</v>
      </c>
      <c r="G10" s="363">
        <f>'RZiS 2024'!$D11</f>
        <v>0</v>
      </c>
      <c r="H10" s="360">
        <f t="shared" si="0"/>
        <v>0</v>
      </c>
      <c r="I10" s="669" t="e">
        <f t="shared" si="4"/>
        <v>#DIV/0!</v>
      </c>
      <c r="J10" s="363">
        <f>'RZiS 2025'!$D11</f>
        <v>0</v>
      </c>
      <c r="K10" s="362">
        <f t="shared" si="1"/>
        <v>0</v>
      </c>
      <c r="L10" s="669" t="e">
        <f t="shared" si="5"/>
        <v>#DIV/0!</v>
      </c>
    </row>
    <row r="11" spans="1:12" ht="30">
      <c r="A11" s="51" t="s">
        <v>16</v>
      </c>
      <c r="B11" s="246" t="s">
        <v>128</v>
      </c>
      <c r="C11" s="463">
        <f>'RZiS 2022'!$D12</f>
        <v>0</v>
      </c>
      <c r="D11" s="52">
        <f>'RZiS 2023'!$D12</f>
        <v>0</v>
      </c>
      <c r="E11" s="362">
        <f t="shared" si="2"/>
        <v>0</v>
      </c>
      <c r="F11" s="670" t="e">
        <f t="shared" si="3"/>
        <v>#DIV/0!</v>
      </c>
      <c r="G11" s="363">
        <f>'RZiS 2024'!$D12</f>
        <v>0</v>
      </c>
      <c r="H11" s="362">
        <f t="shared" si="0"/>
        <v>0</v>
      </c>
      <c r="I11" s="670" t="e">
        <f t="shared" si="4"/>
        <v>#DIV/0!</v>
      </c>
      <c r="J11" s="363">
        <f>'RZiS 2025'!$D12</f>
        <v>0</v>
      </c>
      <c r="K11" s="362">
        <f t="shared" si="1"/>
        <v>0</v>
      </c>
      <c r="L11" s="670" t="e">
        <f t="shared" si="5"/>
        <v>#DIV/0!</v>
      </c>
    </row>
    <row r="12" spans="1:12" ht="15.75" thickBot="1">
      <c r="A12" s="53" t="s">
        <v>20</v>
      </c>
      <c r="B12" s="247" t="s">
        <v>129</v>
      </c>
      <c r="C12" s="464">
        <f>'RZiS 2022'!$D13</f>
        <v>3982139.97</v>
      </c>
      <c r="D12" s="54">
        <f>'RZiS 2023'!$D13</f>
        <v>4000000</v>
      </c>
      <c r="E12" s="364">
        <f t="shared" si="2"/>
        <v>17860.029999999795</v>
      </c>
      <c r="F12" s="671">
        <f t="shared" si="3"/>
        <v>4.4850332069065356E-3</v>
      </c>
      <c r="G12" s="365">
        <f>'RZiS 2024'!$D13</f>
        <v>4200000</v>
      </c>
      <c r="H12" s="364">
        <f t="shared" si="0"/>
        <v>200000</v>
      </c>
      <c r="I12" s="671">
        <f t="shared" si="4"/>
        <v>0.05</v>
      </c>
      <c r="J12" s="365">
        <f>'RZiS 2025'!$D13</f>
        <v>4200000</v>
      </c>
      <c r="K12" s="364">
        <f t="shared" si="1"/>
        <v>0</v>
      </c>
      <c r="L12" s="671">
        <f t="shared" si="5"/>
        <v>0</v>
      </c>
    </row>
    <row r="13" spans="1:12" ht="31.5" customHeight="1" thickBot="1">
      <c r="A13" s="55" t="s">
        <v>41</v>
      </c>
      <c r="B13" s="248" t="s">
        <v>130</v>
      </c>
      <c r="C13" s="465">
        <f>'RZiS 2022'!$D14</f>
        <v>242558505.78999999</v>
      </c>
      <c r="D13" s="56">
        <f>'RZiS 2023'!$D14</f>
        <v>260250000</v>
      </c>
      <c r="E13" s="356">
        <f t="shared" si="2"/>
        <v>17691494.210000008</v>
      </c>
      <c r="F13" s="667">
        <f t="shared" si="3"/>
        <v>7.2937018441714768E-2</v>
      </c>
      <c r="G13" s="366">
        <f>'RZiS 2024'!$D14</f>
        <v>274400000</v>
      </c>
      <c r="H13" s="356">
        <f t="shared" si="0"/>
        <v>14150000</v>
      </c>
      <c r="I13" s="667">
        <f t="shared" si="4"/>
        <v>5.4370797310278579E-2</v>
      </c>
      <c r="J13" s="366">
        <f>'RZiS 2025'!$D14</f>
        <v>294400000</v>
      </c>
      <c r="K13" s="357">
        <f t="shared" si="1"/>
        <v>20000000</v>
      </c>
      <c r="L13" s="667">
        <f t="shared" si="5"/>
        <v>7.2886297376093298E-2</v>
      </c>
    </row>
    <row r="14" spans="1:12">
      <c r="A14" s="57" t="s">
        <v>8</v>
      </c>
      <c r="B14" s="249" t="s">
        <v>131</v>
      </c>
      <c r="C14" s="466">
        <f>'RZiS 2022'!$D15</f>
        <v>4883989.4000000004</v>
      </c>
      <c r="D14" s="58">
        <f>'RZiS 2023'!$D15</f>
        <v>5000000</v>
      </c>
      <c r="E14" s="358">
        <f t="shared" si="2"/>
        <v>116010.59999999963</v>
      </c>
      <c r="F14" s="668">
        <f t="shared" si="3"/>
        <v>2.3753245656102286E-2</v>
      </c>
      <c r="G14" s="367">
        <f>'RZiS 2024'!$D15</f>
        <v>5500000</v>
      </c>
      <c r="H14" s="358">
        <f t="shared" si="0"/>
        <v>500000</v>
      </c>
      <c r="I14" s="668">
        <f t="shared" si="4"/>
        <v>0.1</v>
      </c>
      <c r="J14" s="367">
        <f>'RZiS 2025'!$D15</f>
        <v>6000000</v>
      </c>
      <c r="K14" s="368">
        <f t="shared" si="1"/>
        <v>500000</v>
      </c>
      <c r="L14" s="668">
        <f t="shared" si="5"/>
        <v>9.0909090909090912E-2</v>
      </c>
    </row>
    <row r="15" spans="1:12">
      <c r="A15" s="51" t="s">
        <v>11</v>
      </c>
      <c r="B15" s="250" t="s">
        <v>132</v>
      </c>
      <c r="C15" s="463">
        <f>'RZiS 2022'!$D16</f>
        <v>9728206.0299999993</v>
      </c>
      <c r="D15" s="52">
        <f>'RZiS 2023'!$D16</f>
        <v>11000000</v>
      </c>
      <c r="E15" s="360">
        <f t="shared" si="2"/>
        <v>1271793.9700000007</v>
      </c>
      <c r="F15" s="669">
        <f t="shared" si="3"/>
        <v>0.13073263108100525</v>
      </c>
      <c r="G15" s="363">
        <f>'RZiS 2024'!$D16</f>
        <v>13000000</v>
      </c>
      <c r="H15" s="360">
        <f t="shared" si="0"/>
        <v>2000000</v>
      </c>
      <c r="I15" s="669">
        <f t="shared" si="4"/>
        <v>0.18181818181818182</v>
      </c>
      <c r="J15" s="363">
        <f>'RZiS 2025'!$D16</f>
        <v>15000000</v>
      </c>
      <c r="K15" s="360">
        <f t="shared" si="1"/>
        <v>2000000</v>
      </c>
      <c r="L15" s="669">
        <f t="shared" si="5"/>
        <v>0.15384615384615385</v>
      </c>
    </row>
    <row r="16" spans="1:12">
      <c r="A16" s="51" t="s">
        <v>16</v>
      </c>
      <c r="B16" s="250" t="s">
        <v>133</v>
      </c>
      <c r="C16" s="463">
        <f>'RZiS 2022'!$D17</f>
        <v>105817079.56999999</v>
      </c>
      <c r="D16" s="52">
        <f>'RZiS 2023'!$D17</f>
        <v>112000000</v>
      </c>
      <c r="E16" s="360">
        <f t="shared" si="2"/>
        <v>6182920.4300000072</v>
      </c>
      <c r="F16" s="669">
        <f t="shared" si="3"/>
        <v>5.8430269056044856E-2</v>
      </c>
      <c r="G16" s="363">
        <f>'RZiS 2024'!$D17</f>
        <v>118000000</v>
      </c>
      <c r="H16" s="360">
        <f t="shared" si="0"/>
        <v>6000000</v>
      </c>
      <c r="I16" s="669">
        <f t="shared" si="4"/>
        <v>5.3571428571428568E-2</v>
      </c>
      <c r="J16" s="363">
        <f>'RZiS 2025'!$D17</f>
        <v>129000000</v>
      </c>
      <c r="K16" s="360">
        <f t="shared" si="1"/>
        <v>11000000</v>
      </c>
      <c r="L16" s="669">
        <f t="shared" si="5"/>
        <v>9.3220338983050849E-2</v>
      </c>
    </row>
    <row r="17" spans="1:12">
      <c r="A17" s="51" t="s">
        <v>20</v>
      </c>
      <c r="B17" s="250" t="s">
        <v>134</v>
      </c>
      <c r="C17" s="463">
        <f>'RZiS 2022'!$D18</f>
        <v>809487.91</v>
      </c>
      <c r="D17" s="52">
        <f>'RZiS 2023'!$D18</f>
        <v>950000</v>
      </c>
      <c r="E17" s="362">
        <f t="shared" si="2"/>
        <v>140512.08999999997</v>
      </c>
      <c r="F17" s="670">
        <f t="shared" si="3"/>
        <v>0.17358145596022548</v>
      </c>
      <c r="G17" s="363">
        <f>'RZiS 2024'!$D18</f>
        <v>1000000</v>
      </c>
      <c r="H17" s="362">
        <f t="shared" si="0"/>
        <v>50000</v>
      </c>
      <c r="I17" s="670">
        <f t="shared" si="4"/>
        <v>5.2631578947368418E-2</v>
      </c>
      <c r="J17" s="363">
        <f>'RZiS 2025'!$D18</f>
        <v>1200000</v>
      </c>
      <c r="K17" s="362">
        <f t="shared" si="1"/>
        <v>200000</v>
      </c>
      <c r="L17" s="670">
        <f t="shared" si="5"/>
        <v>0.2</v>
      </c>
    </row>
    <row r="18" spans="1:12">
      <c r="A18" s="51"/>
      <c r="B18" s="250" t="s">
        <v>135</v>
      </c>
      <c r="C18" s="463">
        <f>'RZiS 2022'!$D19</f>
        <v>0</v>
      </c>
      <c r="D18" s="52">
        <f>'RZiS 2023'!$D19</f>
        <v>0</v>
      </c>
      <c r="E18" s="362">
        <f t="shared" si="2"/>
        <v>0</v>
      </c>
      <c r="F18" s="670" t="e">
        <f t="shared" si="3"/>
        <v>#DIV/0!</v>
      </c>
      <c r="G18" s="363">
        <f>'RZiS 2024'!$D19</f>
        <v>0</v>
      </c>
      <c r="H18" s="362">
        <f t="shared" si="0"/>
        <v>0</v>
      </c>
      <c r="I18" s="670" t="e">
        <f t="shared" si="4"/>
        <v>#DIV/0!</v>
      </c>
      <c r="J18" s="363">
        <f>'RZiS 2025'!$D19</f>
        <v>0</v>
      </c>
      <c r="K18" s="362">
        <f t="shared" si="1"/>
        <v>0</v>
      </c>
      <c r="L18" s="670" t="e">
        <f t="shared" si="5"/>
        <v>#DIV/0!</v>
      </c>
    </row>
    <row r="19" spans="1:12">
      <c r="A19" s="51" t="s">
        <v>80</v>
      </c>
      <c r="B19" s="250" t="s">
        <v>136</v>
      </c>
      <c r="C19" s="463">
        <f>'RZiS 2022'!$D20</f>
        <v>93899636.150000006</v>
      </c>
      <c r="D19" s="52">
        <f>'RZiS 2023'!$D20</f>
        <v>102000000</v>
      </c>
      <c r="E19" s="360">
        <f t="shared" si="2"/>
        <v>8100363.849999994</v>
      </c>
      <c r="F19" s="669">
        <f t="shared" si="3"/>
        <v>8.626618996755285E-2</v>
      </c>
      <c r="G19" s="363">
        <f>'RZiS 2024'!$D20</f>
        <v>106000000</v>
      </c>
      <c r="H19" s="360">
        <f t="shared" si="0"/>
        <v>4000000</v>
      </c>
      <c r="I19" s="669">
        <f t="shared" si="4"/>
        <v>3.9215686274509803E-2</v>
      </c>
      <c r="J19" s="363">
        <f>'RZiS 2025'!$D20</f>
        <v>110000000</v>
      </c>
      <c r="K19" s="360">
        <f t="shared" si="1"/>
        <v>4000000</v>
      </c>
      <c r="L19" s="669">
        <f t="shared" si="5"/>
        <v>3.7735849056603772E-2</v>
      </c>
    </row>
    <row r="20" spans="1:12">
      <c r="A20" s="51" t="s">
        <v>33</v>
      </c>
      <c r="B20" s="246" t="s">
        <v>137</v>
      </c>
      <c r="C20" s="463">
        <f>'RZiS 2022'!$D21</f>
        <v>20268413.629999999</v>
      </c>
      <c r="D20" s="52">
        <f>'RZiS 2023'!$D21</f>
        <v>22000000</v>
      </c>
      <c r="E20" s="360">
        <f t="shared" si="2"/>
        <v>1731586.370000001</v>
      </c>
      <c r="F20" s="669">
        <f t="shared" si="3"/>
        <v>8.5432752735863773E-2</v>
      </c>
      <c r="G20" s="363">
        <f>'RZiS 2024'!$D21</f>
        <v>23000000</v>
      </c>
      <c r="H20" s="360">
        <f t="shared" si="0"/>
        <v>1000000</v>
      </c>
      <c r="I20" s="669">
        <f t="shared" si="4"/>
        <v>4.5454545454545456E-2</v>
      </c>
      <c r="J20" s="363">
        <f>'RZiS 2025'!$D21</f>
        <v>25000000</v>
      </c>
      <c r="K20" s="360">
        <f t="shared" si="1"/>
        <v>2000000</v>
      </c>
      <c r="L20" s="669">
        <f t="shared" si="5"/>
        <v>8.6956521739130432E-2</v>
      </c>
    </row>
    <row r="21" spans="1:12">
      <c r="A21" s="51"/>
      <c r="B21" s="481" t="s">
        <v>138</v>
      </c>
      <c r="C21" s="482">
        <f>'RZiS 2022'!$D22</f>
        <v>8198161.9299999997</v>
      </c>
      <c r="D21" s="374">
        <f>'RZiS 2023'!$D22</f>
        <v>9000000</v>
      </c>
      <c r="E21" s="375">
        <f t="shared" si="2"/>
        <v>801838.0700000003</v>
      </c>
      <c r="F21" s="672">
        <f t="shared" si="3"/>
        <v>9.7807054416159889E-2</v>
      </c>
      <c r="G21" s="376">
        <f>'RZiS 2024'!$D22</f>
        <v>10500000</v>
      </c>
      <c r="H21" s="375">
        <f t="shared" si="0"/>
        <v>1500000</v>
      </c>
      <c r="I21" s="672">
        <f t="shared" si="4"/>
        <v>0.16666666666666666</v>
      </c>
      <c r="J21" s="376">
        <f>'RZiS 2025'!$D22</f>
        <v>12000000</v>
      </c>
      <c r="K21" s="375">
        <f t="shared" si="1"/>
        <v>1500000</v>
      </c>
      <c r="L21" s="672">
        <f t="shared" si="5"/>
        <v>0.14285714285714285</v>
      </c>
    </row>
    <row r="22" spans="1:12">
      <c r="A22" s="51" t="s">
        <v>37</v>
      </c>
      <c r="B22" s="250" t="s">
        <v>139</v>
      </c>
      <c r="C22" s="463">
        <f>'RZiS 2022'!$D23</f>
        <v>3344367.6</v>
      </c>
      <c r="D22" s="52">
        <f>'RZiS 2023'!$D23</f>
        <v>3500000</v>
      </c>
      <c r="E22" s="362">
        <f t="shared" si="2"/>
        <v>155632.39999999991</v>
      </c>
      <c r="F22" s="670">
        <f t="shared" si="3"/>
        <v>4.6535673889437246E-2</v>
      </c>
      <c r="G22" s="363">
        <f>'RZiS 2024'!$D23</f>
        <v>3900000</v>
      </c>
      <c r="H22" s="362">
        <f t="shared" si="0"/>
        <v>400000</v>
      </c>
      <c r="I22" s="670">
        <f t="shared" si="4"/>
        <v>0.11428571428571428</v>
      </c>
      <c r="J22" s="363">
        <f>'RZiS 2025'!$D23</f>
        <v>4200000</v>
      </c>
      <c r="K22" s="362">
        <f t="shared" si="1"/>
        <v>300000</v>
      </c>
      <c r="L22" s="670">
        <f t="shared" si="5"/>
        <v>7.6923076923076927E-2</v>
      </c>
    </row>
    <row r="23" spans="1:12" ht="15.75" thickBot="1">
      <c r="A23" s="53" t="s">
        <v>140</v>
      </c>
      <c r="B23" s="251" t="s">
        <v>141</v>
      </c>
      <c r="C23" s="464">
        <f>'RZiS 2022'!$D24</f>
        <v>3807325.5</v>
      </c>
      <c r="D23" s="54">
        <f>'RZiS 2023'!$D24</f>
        <v>3800000</v>
      </c>
      <c r="E23" s="364">
        <f t="shared" si="2"/>
        <v>-7325.5</v>
      </c>
      <c r="F23" s="671">
        <f t="shared" si="3"/>
        <v>-1.9240540374076238E-3</v>
      </c>
      <c r="G23" s="365">
        <f>'RZiS 2024'!$D24</f>
        <v>4000000</v>
      </c>
      <c r="H23" s="364">
        <f t="shared" si="0"/>
        <v>200000</v>
      </c>
      <c r="I23" s="671">
        <f t="shared" si="4"/>
        <v>5.2631578947368418E-2</v>
      </c>
      <c r="J23" s="365">
        <f>'RZiS 2025'!$D24</f>
        <v>4000000</v>
      </c>
      <c r="K23" s="364">
        <f t="shared" si="1"/>
        <v>0</v>
      </c>
      <c r="L23" s="671">
        <f t="shared" si="5"/>
        <v>0</v>
      </c>
    </row>
    <row r="24" spans="1:12" ht="28.5" customHeight="1" thickBot="1">
      <c r="A24" s="55" t="s">
        <v>142</v>
      </c>
      <c r="B24" s="248" t="s">
        <v>143</v>
      </c>
      <c r="C24" s="465">
        <f>'RZiS 2022'!$D25</f>
        <v>-5536878.2199999988</v>
      </c>
      <c r="D24" s="56">
        <f>'RZiS 2023'!$D25</f>
        <v>1404000</v>
      </c>
      <c r="E24" s="356">
        <f t="shared" si="2"/>
        <v>6940878.2199999988</v>
      </c>
      <c r="F24" s="667">
        <f t="shared" si="3"/>
        <v>-1.2535724905287875</v>
      </c>
      <c r="G24" s="366">
        <f>'RZiS 2024'!$D25</f>
        <v>2924000</v>
      </c>
      <c r="H24" s="356">
        <f t="shared" si="0"/>
        <v>1520000</v>
      </c>
      <c r="I24" s="667">
        <f t="shared" si="4"/>
        <v>1.0826210826210827</v>
      </c>
      <c r="J24" s="366">
        <f>'RZiS 2025'!$D25</f>
        <v>3180000</v>
      </c>
      <c r="K24" s="356">
        <f t="shared" si="1"/>
        <v>256000</v>
      </c>
      <c r="L24" s="667">
        <f t="shared" si="5"/>
        <v>8.7551299589603282E-2</v>
      </c>
    </row>
    <row r="25" spans="1:12" ht="15.75" thickBot="1">
      <c r="A25" s="55" t="s">
        <v>144</v>
      </c>
      <c r="B25" s="248" t="s">
        <v>145</v>
      </c>
      <c r="C25" s="465">
        <f>'RZiS 2022'!$D26</f>
        <v>15638531.23</v>
      </c>
      <c r="D25" s="56">
        <f>'RZiS 2023'!$D26</f>
        <v>5790000</v>
      </c>
      <c r="E25" s="369">
        <f t="shared" si="2"/>
        <v>-9848531.2300000004</v>
      </c>
      <c r="F25" s="673">
        <f t="shared" si="3"/>
        <v>-0.62976062682326461</v>
      </c>
      <c r="G25" s="366">
        <f>'RZiS 2024'!$D26</f>
        <v>4800000</v>
      </c>
      <c r="H25" s="369">
        <f t="shared" si="0"/>
        <v>-990000</v>
      </c>
      <c r="I25" s="673">
        <f t="shared" si="4"/>
        <v>-0.17098445595854922</v>
      </c>
      <c r="J25" s="366">
        <f>'RZiS 2025'!$D26</f>
        <v>5200000</v>
      </c>
      <c r="K25" s="369">
        <f t="shared" si="1"/>
        <v>400000</v>
      </c>
      <c r="L25" s="673">
        <f t="shared" si="5"/>
        <v>8.3333333333333329E-2</v>
      </c>
    </row>
    <row r="26" spans="1:12">
      <c r="A26" s="57" t="s">
        <v>8</v>
      </c>
      <c r="B26" s="252" t="s">
        <v>174</v>
      </c>
      <c r="C26" s="466">
        <f>'RZiS 2022'!$D27</f>
        <v>0</v>
      </c>
      <c r="D26" s="58">
        <f>'RZiS 2023'!$D27</f>
        <v>0</v>
      </c>
      <c r="E26" s="358">
        <f t="shared" si="2"/>
        <v>0</v>
      </c>
      <c r="F26" s="668" t="e">
        <f t="shared" si="3"/>
        <v>#DIV/0!</v>
      </c>
      <c r="G26" s="367">
        <f>'RZiS 2024'!$D27</f>
        <v>0</v>
      </c>
      <c r="H26" s="358">
        <f t="shared" si="0"/>
        <v>0</v>
      </c>
      <c r="I26" s="668" t="e">
        <f t="shared" si="4"/>
        <v>#DIV/0!</v>
      </c>
      <c r="J26" s="367">
        <f>'RZiS 2025'!$D27</f>
        <v>0</v>
      </c>
      <c r="K26" s="358">
        <f t="shared" si="1"/>
        <v>0</v>
      </c>
      <c r="L26" s="668" t="e">
        <f t="shared" si="5"/>
        <v>#DIV/0!</v>
      </c>
    </row>
    <row r="27" spans="1:12">
      <c r="A27" s="51" t="s">
        <v>11</v>
      </c>
      <c r="B27" s="250" t="s">
        <v>146</v>
      </c>
      <c r="C27" s="463">
        <f>'RZiS 2022'!$D28</f>
        <v>12037083.33</v>
      </c>
      <c r="D27" s="52">
        <f>'RZiS 2023'!$D28</f>
        <v>795000</v>
      </c>
      <c r="E27" s="362">
        <f t="shared" si="2"/>
        <v>-11242083.33</v>
      </c>
      <c r="F27" s="670">
        <f t="shared" si="3"/>
        <v>-0.9339541001582482</v>
      </c>
      <c r="G27" s="363">
        <f>'RZiS 2024'!$D28</f>
        <v>500000</v>
      </c>
      <c r="H27" s="362">
        <f t="shared" si="0"/>
        <v>-295000</v>
      </c>
      <c r="I27" s="670">
        <f t="shared" si="4"/>
        <v>-0.37106918238993708</v>
      </c>
      <c r="J27" s="363">
        <f>'RZiS 2025'!$D28</f>
        <v>800000</v>
      </c>
      <c r="K27" s="362">
        <f t="shared" si="1"/>
        <v>300000</v>
      </c>
      <c r="L27" s="670">
        <f t="shared" si="5"/>
        <v>0.6</v>
      </c>
    </row>
    <row r="28" spans="1:12">
      <c r="A28" s="53" t="s">
        <v>16</v>
      </c>
      <c r="B28" s="247" t="s">
        <v>147</v>
      </c>
      <c r="C28" s="464">
        <f>'RZiS 2022'!$D29</f>
        <v>0</v>
      </c>
      <c r="D28" s="54">
        <f>'RZiS 2023'!$D29</f>
        <v>0</v>
      </c>
      <c r="E28" s="362">
        <f t="shared" si="2"/>
        <v>0</v>
      </c>
      <c r="F28" s="671" t="e">
        <f t="shared" si="3"/>
        <v>#DIV/0!</v>
      </c>
      <c r="G28" s="365">
        <f>'RZiS 2024'!$D29</f>
        <v>0</v>
      </c>
      <c r="H28" s="362">
        <f t="shared" si="0"/>
        <v>0</v>
      </c>
      <c r="I28" s="671" t="e">
        <f t="shared" si="4"/>
        <v>#DIV/0!</v>
      </c>
      <c r="J28" s="365">
        <f>'RZiS 2025'!$D29</f>
        <v>0</v>
      </c>
      <c r="K28" s="362">
        <f t="shared" si="1"/>
        <v>0</v>
      </c>
      <c r="L28" s="671" t="e">
        <f t="shared" si="5"/>
        <v>#DIV/0!</v>
      </c>
    </row>
    <row r="29" spans="1:12" ht="15.75" thickBot="1">
      <c r="A29" s="53" t="s">
        <v>20</v>
      </c>
      <c r="B29" s="251" t="s">
        <v>148</v>
      </c>
      <c r="C29" s="464">
        <f>'RZiS 2022'!$D30</f>
        <v>3601447.9</v>
      </c>
      <c r="D29" s="54">
        <f>'RZiS 2023'!$D30</f>
        <v>4995000</v>
      </c>
      <c r="E29" s="370">
        <f t="shared" si="2"/>
        <v>1393552.1</v>
      </c>
      <c r="F29" s="674">
        <f t="shared" si="3"/>
        <v>0.38694217956061511</v>
      </c>
      <c r="G29" s="365">
        <f>'RZiS 2024'!$D30</f>
        <v>4300000</v>
      </c>
      <c r="H29" s="370">
        <f t="shared" si="0"/>
        <v>-695000</v>
      </c>
      <c r="I29" s="674">
        <f t="shared" si="4"/>
        <v>-0.13913913913913914</v>
      </c>
      <c r="J29" s="365">
        <f>'RZiS 2025'!$D30</f>
        <v>4400000</v>
      </c>
      <c r="K29" s="364">
        <f t="shared" si="1"/>
        <v>100000</v>
      </c>
      <c r="L29" s="674">
        <f t="shared" si="5"/>
        <v>2.3255813953488372E-2</v>
      </c>
    </row>
    <row r="30" spans="1:12" ht="30" customHeight="1" thickBot="1">
      <c r="A30" s="55" t="s">
        <v>149</v>
      </c>
      <c r="B30" s="248" t="s">
        <v>150</v>
      </c>
      <c r="C30" s="465">
        <f>'RZiS 2022'!$D31</f>
        <v>3625711.7100000004</v>
      </c>
      <c r="D30" s="56">
        <f>'RZiS 2023'!$D31</f>
        <v>2020000</v>
      </c>
      <c r="E30" s="356">
        <f t="shared" si="2"/>
        <v>-1605711.7100000004</v>
      </c>
      <c r="F30" s="667">
        <f t="shared" si="3"/>
        <v>-0.44286800452758562</v>
      </c>
      <c r="G30" s="366">
        <f>'RZiS 2024'!$D31</f>
        <v>2100000</v>
      </c>
      <c r="H30" s="356">
        <f t="shared" si="0"/>
        <v>80000</v>
      </c>
      <c r="I30" s="667">
        <f t="shared" si="4"/>
        <v>3.9603960396039604E-2</v>
      </c>
      <c r="J30" s="366">
        <f>'RZiS 2025'!$D31</f>
        <v>2500000</v>
      </c>
      <c r="K30" s="356">
        <f t="shared" si="1"/>
        <v>400000</v>
      </c>
      <c r="L30" s="667">
        <f t="shared" si="5"/>
        <v>0.19047619047619047</v>
      </c>
    </row>
    <row r="31" spans="1:12">
      <c r="A31" s="57" t="s">
        <v>8</v>
      </c>
      <c r="B31" s="252" t="s">
        <v>175</v>
      </c>
      <c r="C31" s="466">
        <f>'RZiS 2022'!$D32</f>
        <v>64392.22</v>
      </c>
      <c r="D31" s="58">
        <f>'RZiS 2023'!$D32</f>
        <v>0</v>
      </c>
      <c r="E31" s="358">
        <f t="shared" si="2"/>
        <v>-64392.22</v>
      </c>
      <c r="F31" s="668">
        <f t="shared" si="3"/>
        <v>-1</v>
      </c>
      <c r="G31" s="367">
        <f>'RZiS 2024'!$D32</f>
        <v>0</v>
      </c>
      <c r="H31" s="358">
        <f t="shared" si="0"/>
        <v>0</v>
      </c>
      <c r="I31" s="668" t="e">
        <f t="shared" si="4"/>
        <v>#DIV/0!</v>
      </c>
      <c r="J31" s="367">
        <f>'RZiS 2025'!$D32</f>
        <v>0</v>
      </c>
      <c r="K31" s="358">
        <f t="shared" si="1"/>
        <v>0</v>
      </c>
      <c r="L31" s="668" t="e">
        <f t="shared" si="5"/>
        <v>#DIV/0!</v>
      </c>
    </row>
    <row r="32" spans="1:12">
      <c r="A32" s="51" t="s">
        <v>11</v>
      </c>
      <c r="B32" s="246" t="s">
        <v>147</v>
      </c>
      <c r="C32" s="463">
        <f>'RZiS 2022'!$D33</f>
        <v>130868</v>
      </c>
      <c r="D32" s="52">
        <f>'RZiS 2023'!$D33</f>
        <v>200000</v>
      </c>
      <c r="E32" s="362">
        <f t="shared" si="2"/>
        <v>69132</v>
      </c>
      <c r="F32" s="670">
        <f t="shared" si="3"/>
        <v>0.52825748082036861</v>
      </c>
      <c r="G32" s="363">
        <f>'RZiS 2024'!$D33</f>
        <v>200000</v>
      </c>
      <c r="H32" s="362">
        <f t="shared" si="0"/>
        <v>0</v>
      </c>
      <c r="I32" s="670">
        <f t="shared" si="4"/>
        <v>0</v>
      </c>
      <c r="J32" s="363">
        <f>'RZiS 2025'!$D33</f>
        <v>300000</v>
      </c>
      <c r="K32" s="362">
        <f t="shared" si="1"/>
        <v>100000</v>
      </c>
      <c r="L32" s="670">
        <f t="shared" si="5"/>
        <v>0.5</v>
      </c>
    </row>
    <row r="33" spans="1:12" ht="15.75" thickBot="1">
      <c r="A33" s="53" t="s">
        <v>16</v>
      </c>
      <c r="B33" s="251" t="s">
        <v>151</v>
      </c>
      <c r="C33" s="464">
        <f>'RZiS 2022'!$D34</f>
        <v>3430451.49</v>
      </c>
      <c r="D33" s="54">
        <f>'RZiS 2023'!$D34</f>
        <v>1820000</v>
      </c>
      <c r="E33" s="370">
        <f t="shared" si="2"/>
        <v>-1610451.4900000002</v>
      </c>
      <c r="F33" s="674">
        <f t="shared" si="3"/>
        <v>-0.46945759026022554</v>
      </c>
      <c r="G33" s="365">
        <f>'RZiS 2024'!$D34</f>
        <v>1900000</v>
      </c>
      <c r="H33" s="364">
        <f t="shared" si="0"/>
        <v>80000</v>
      </c>
      <c r="I33" s="671">
        <f t="shared" si="4"/>
        <v>4.3956043956043959E-2</v>
      </c>
      <c r="J33" s="365">
        <f>'RZiS 2025'!$D34</f>
        <v>2200000</v>
      </c>
      <c r="K33" s="364">
        <f t="shared" si="1"/>
        <v>300000</v>
      </c>
      <c r="L33" s="671">
        <f t="shared" si="5"/>
        <v>0.15789473684210525</v>
      </c>
    </row>
    <row r="34" spans="1:12" ht="32.25" customHeight="1" thickBot="1">
      <c r="A34" s="55" t="s">
        <v>152</v>
      </c>
      <c r="B34" s="248" t="s">
        <v>153</v>
      </c>
      <c r="C34" s="465">
        <f>'RZiS 2022'!$D35</f>
        <v>6475941.3000000007</v>
      </c>
      <c r="D34" s="56">
        <f>'RZiS 2023'!$D35</f>
        <v>5174000</v>
      </c>
      <c r="E34" s="356">
        <f t="shared" si="2"/>
        <v>-1301941.3000000007</v>
      </c>
      <c r="F34" s="667">
        <f t="shared" si="3"/>
        <v>-0.20104278894560093</v>
      </c>
      <c r="G34" s="366">
        <f>'RZiS 2024'!$D35</f>
        <v>5624000</v>
      </c>
      <c r="H34" s="356">
        <f t="shared" si="0"/>
        <v>450000</v>
      </c>
      <c r="I34" s="667">
        <f t="shared" si="4"/>
        <v>8.6973328179358336E-2</v>
      </c>
      <c r="J34" s="366">
        <f>'RZiS 2025'!$D35</f>
        <v>5880000</v>
      </c>
      <c r="K34" s="356">
        <f t="shared" si="1"/>
        <v>256000</v>
      </c>
      <c r="L34" s="667">
        <f t="shared" si="5"/>
        <v>4.5519203413940258E-2</v>
      </c>
    </row>
    <row r="35" spans="1:12" ht="28.5" customHeight="1" thickBot="1">
      <c r="A35" s="59" t="s">
        <v>154</v>
      </c>
      <c r="B35" s="253" t="s">
        <v>155</v>
      </c>
      <c r="C35" s="467">
        <f>'RZiS 2022'!$D36</f>
        <v>511765.7</v>
      </c>
      <c r="D35" s="60">
        <f>'RZiS 2023'!$D36</f>
        <v>610000</v>
      </c>
      <c r="E35" s="369">
        <f t="shared" si="2"/>
        <v>98234.299999999988</v>
      </c>
      <c r="F35" s="673">
        <f t="shared" si="3"/>
        <v>0.19195170758806224</v>
      </c>
      <c r="G35" s="371">
        <f>'RZiS 2024'!$D36</f>
        <v>510000</v>
      </c>
      <c r="H35" s="369">
        <f t="shared" si="0"/>
        <v>-100000</v>
      </c>
      <c r="I35" s="673">
        <f t="shared" si="4"/>
        <v>-0.16393442622950818</v>
      </c>
      <c r="J35" s="371">
        <f>'RZiS 2025'!$D36</f>
        <v>510000</v>
      </c>
      <c r="K35" s="369">
        <f t="shared" si="1"/>
        <v>0</v>
      </c>
      <c r="L35" s="673">
        <f t="shared" si="5"/>
        <v>0</v>
      </c>
    </row>
    <row r="36" spans="1:12">
      <c r="A36" s="57" t="s">
        <v>8</v>
      </c>
      <c r="B36" s="249" t="s">
        <v>156</v>
      </c>
      <c r="C36" s="466">
        <f>'RZiS 2022'!$D37</f>
        <v>0</v>
      </c>
      <c r="D36" s="58">
        <f>'RZiS 2023'!$D37</f>
        <v>0</v>
      </c>
      <c r="E36" s="358">
        <f t="shared" si="2"/>
        <v>0</v>
      </c>
      <c r="F36" s="668" t="e">
        <f t="shared" si="3"/>
        <v>#DIV/0!</v>
      </c>
      <c r="G36" s="367">
        <f>'RZiS 2024'!$D37</f>
        <v>0</v>
      </c>
      <c r="H36" s="358">
        <f t="shared" si="0"/>
        <v>0</v>
      </c>
      <c r="I36" s="668" t="e">
        <f t="shared" si="4"/>
        <v>#DIV/0!</v>
      </c>
      <c r="J36" s="367">
        <f>'RZiS 2025'!$D37</f>
        <v>0</v>
      </c>
      <c r="K36" s="358">
        <f t="shared" si="1"/>
        <v>0</v>
      </c>
      <c r="L36" s="668" t="e">
        <f t="shared" si="5"/>
        <v>#DIV/0!</v>
      </c>
    </row>
    <row r="37" spans="1:12">
      <c r="A37" s="51"/>
      <c r="B37" s="250" t="s">
        <v>176</v>
      </c>
      <c r="C37" s="463">
        <f>'RZiS 2022'!$D38</f>
        <v>0</v>
      </c>
      <c r="D37" s="52">
        <f>'RZiS 2023'!$D38</f>
        <v>0</v>
      </c>
      <c r="E37" s="362">
        <f t="shared" si="2"/>
        <v>0</v>
      </c>
      <c r="F37" s="670" t="e">
        <f t="shared" si="3"/>
        <v>#DIV/0!</v>
      </c>
      <c r="G37" s="363">
        <f>'RZiS 2024'!$D38</f>
        <v>0</v>
      </c>
      <c r="H37" s="362">
        <f t="shared" si="0"/>
        <v>0</v>
      </c>
      <c r="I37" s="670" t="e">
        <f t="shared" si="4"/>
        <v>#DIV/0!</v>
      </c>
      <c r="J37" s="363">
        <f>'RZiS 2025'!$D38</f>
        <v>0</v>
      </c>
      <c r="K37" s="362">
        <f t="shared" si="1"/>
        <v>0</v>
      </c>
      <c r="L37" s="670" t="e">
        <f t="shared" si="5"/>
        <v>#DIV/0!</v>
      </c>
    </row>
    <row r="38" spans="1:12" ht="30">
      <c r="A38" s="51"/>
      <c r="B38" s="246" t="s">
        <v>157</v>
      </c>
      <c r="C38" s="463">
        <f>'RZiS 2022'!$D39</f>
        <v>0</v>
      </c>
      <c r="D38" s="52">
        <f>'RZiS 2023'!$D39</f>
        <v>0</v>
      </c>
      <c r="E38" s="362">
        <f t="shared" si="2"/>
        <v>0</v>
      </c>
      <c r="F38" s="670" t="e">
        <f t="shared" si="3"/>
        <v>#DIV/0!</v>
      </c>
      <c r="G38" s="363">
        <f>'RZiS 2024'!$D39</f>
        <v>0</v>
      </c>
      <c r="H38" s="362">
        <f t="shared" si="0"/>
        <v>0</v>
      </c>
      <c r="I38" s="670" t="e">
        <f t="shared" si="4"/>
        <v>#DIV/0!</v>
      </c>
      <c r="J38" s="363">
        <f>'RZiS 2025'!$D39</f>
        <v>0</v>
      </c>
      <c r="K38" s="362">
        <f t="shared" si="1"/>
        <v>0</v>
      </c>
      <c r="L38" s="670" t="e">
        <f t="shared" si="5"/>
        <v>#DIV/0!</v>
      </c>
    </row>
    <row r="39" spans="1:12">
      <c r="A39" s="51"/>
      <c r="B39" s="250" t="s">
        <v>158</v>
      </c>
      <c r="C39" s="463">
        <f>'RZiS 2022'!$D40</f>
        <v>0</v>
      </c>
      <c r="D39" s="52">
        <f>'RZiS 2023'!$D40</f>
        <v>0</v>
      </c>
      <c r="E39" s="362">
        <f t="shared" si="2"/>
        <v>0</v>
      </c>
      <c r="F39" s="670" t="e">
        <f t="shared" si="3"/>
        <v>#DIV/0!</v>
      </c>
      <c r="G39" s="363">
        <f>'RZiS 2024'!$D40</f>
        <v>0</v>
      </c>
      <c r="H39" s="362">
        <f t="shared" ref="H39:H57" si="6">G39-D39</f>
        <v>0</v>
      </c>
      <c r="I39" s="670" t="e">
        <f t="shared" si="4"/>
        <v>#DIV/0!</v>
      </c>
      <c r="J39" s="363">
        <f>'RZiS 2025'!$D40</f>
        <v>0</v>
      </c>
      <c r="K39" s="362">
        <f t="shared" ref="K39:K57" si="7">J39-G39</f>
        <v>0</v>
      </c>
      <c r="L39" s="670" t="e">
        <f t="shared" si="5"/>
        <v>#DIV/0!</v>
      </c>
    </row>
    <row r="40" spans="1:12" ht="30">
      <c r="A40" s="51"/>
      <c r="B40" s="246" t="s">
        <v>157</v>
      </c>
      <c r="C40" s="463">
        <f>'RZiS 2022'!$D41</f>
        <v>0</v>
      </c>
      <c r="D40" s="52">
        <f>'RZiS 2023'!$D41</f>
        <v>0</v>
      </c>
      <c r="E40" s="362">
        <f t="shared" si="2"/>
        <v>0</v>
      </c>
      <c r="F40" s="670" t="e">
        <f t="shared" si="3"/>
        <v>#DIV/0!</v>
      </c>
      <c r="G40" s="363">
        <f>'RZiS 2024'!$D41</f>
        <v>0</v>
      </c>
      <c r="H40" s="362">
        <f t="shared" si="6"/>
        <v>0</v>
      </c>
      <c r="I40" s="670" t="e">
        <f t="shared" si="4"/>
        <v>#DIV/0!</v>
      </c>
      <c r="J40" s="363">
        <f>'RZiS 2025'!$D41</f>
        <v>0</v>
      </c>
      <c r="K40" s="362">
        <f t="shared" si="7"/>
        <v>0</v>
      </c>
      <c r="L40" s="670" t="e">
        <f t="shared" si="5"/>
        <v>#DIV/0!</v>
      </c>
    </row>
    <row r="41" spans="1:12">
      <c r="A41" s="51" t="s">
        <v>11</v>
      </c>
      <c r="B41" s="250" t="s">
        <v>159</v>
      </c>
      <c r="C41" s="463">
        <f>'RZiS 2022'!$D42</f>
        <v>490334.2</v>
      </c>
      <c r="D41" s="52">
        <f>'RZiS 2023'!$D42</f>
        <v>600000</v>
      </c>
      <c r="E41" s="362">
        <f t="shared" si="2"/>
        <v>109665.79999999999</v>
      </c>
      <c r="F41" s="670">
        <f t="shared" si="3"/>
        <v>0.22365521311791017</v>
      </c>
      <c r="G41" s="363">
        <f>'RZiS 2024'!$D42</f>
        <v>500000</v>
      </c>
      <c r="H41" s="362">
        <f t="shared" si="6"/>
        <v>-100000</v>
      </c>
      <c r="I41" s="670">
        <f t="shared" si="4"/>
        <v>-0.16666666666666666</v>
      </c>
      <c r="J41" s="363">
        <f>'RZiS 2025'!$D42</f>
        <v>500000</v>
      </c>
      <c r="K41" s="362">
        <f t="shared" si="7"/>
        <v>0</v>
      </c>
      <c r="L41" s="670">
        <f t="shared" si="5"/>
        <v>0</v>
      </c>
    </row>
    <row r="42" spans="1:12">
      <c r="A42" s="51"/>
      <c r="B42" s="250" t="s">
        <v>125</v>
      </c>
      <c r="C42" s="463">
        <f>'RZiS 2022'!$D43</f>
        <v>0</v>
      </c>
      <c r="D42" s="52">
        <f>'RZiS 2023'!$D43</f>
        <v>0</v>
      </c>
      <c r="E42" s="362">
        <f t="shared" si="2"/>
        <v>0</v>
      </c>
      <c r="F42" s="670" t="e">
        <f t="shared" si="3"/>
        <v>#DIV/0!</v>
      </c>
      <c r="G42" s="363">
        <f>'RZiS 2024'!$D43</f>
        <v>0</v>
      </c>
      <c r="H42" s="362">
        <f t="shared" si="6"/>
        <v>0</v>
      </c>
      <c r="I42" s="670" t="e">
        <f t="shared" si="4"/>
        <v>#DIV/0!</v>
      </c>
      <c r="J42" s="363">
        <f>'RZiS 2025'!$D43</f>
        <v>0</v>
      </c>
      <c r="K42" s="362">
        <f t="shared" si="7"/>
        <v>0</v>
      </c>
      <c r="L42" s="670" t="e">
        <f t="shared" si="5"/>
        <v>#DIV/0!</v>
      </c>
    </row>
    <row r="43" spans="1:12">
      <c r="A43" s="51" t="s">
        <v>16</v>
      </c>
      <c r="B43" s="250" t="s">
        <v>177</v>
      </c>
      <c r="C43" s="463">
        <f>'RZiS 2022'!$D44</f>
        <v>0</v>
      </c>
      <c r="D43" s="52">
        <f>'RZiS 2023'!$D44</f>
        <v>0</v>
      </c>
      <c r="E43" s="362">
        <f t="shared" si="2"/>
        <v>0</v>
      </c>
      <c r="F43" s="670" t="e">
        <f t="shared" si="3"/>
        <v>#DIV/0!</v>
      </c>
      <c r="G43" s="363">
        <f>'RZiS 2024'!$D44</f>
        <v>0</v>
      </c>
      <c r="H43" s="362">
        <f t="shared" si="6"/>
        <v>0</v>
      </c>
      <c r="I43" s="670" t="e">
        <f t="shared" si="4"/>
        <v>#DIV/0!</v>
      </c>
      <c r="J43" s="363">
        <f>'RZiS 2025'!$D44</f>
        <v>0</v>
      </c>
      <c r="K43" s="362">
        <f t="shared" si="7"/>
        <v>0</v>
      </c>
      <c r="L43" s="670" t="e">
        <f t="shared" si="5"/>
        <v>#DIV/0!</v>
      </c>
    </row>
    <row r="44" spans="1:12">
      <c r="A44" s="51"/>
      <c r="B44" s="250" t="s">
        <v>125</v>
      </c>
      <c r="C44" s="463">
        <f>'RZiS 2022'!$D45</f>
        <v>0</v>
      </c>
      <c r="D44" s="52">
        <f>'RZiS 2023'!$D45</f>
        <v>0</v>
      </c>
      <c r="E44" s="362">
        <f t="shared" si="2"/>
        <v>0</v>
      </c>
      <c r="F44" s="670" t="e">
        <f t="shared" si="3"/>
        <v>#DIV/0!</v>
      </c>
      <c r="G44" s="363">
        <f>'RZiS 2024'!$D45</f>
        <v>0</v>
      </c>
      <c r="H44" s="362">
        <f t="shared" si="6"/>
        <v>0</v>
      </c>
      <c r="I44" s="670" t="e">
        <f t="shared" si="4"/>
        <v>#DIV/0!</v>
      </c>
      <c r="J44" s="363">
        <f>'RZiS 2025'!$D45</f>
        <v>0</v>
      </c>
      <c r="K44" s="362">
        <f t="shared" si="7"/>
        <v>0</v>
      </c>
      <c r="L44" s="670" t="e">
        <f t="shared" si="5"/>
        <v>#DIV/0!</v>
      </c>
    </row>
    <row r="45" spans="1:12">
      <c r="A45" s="51" t="s">
        <v>20</v>
      </c>
      <c r="B45" s="250" t="s">
        <v>178</v>
      </c>
      <c r="C45" s="463">
        <f>'RZiS 2022'!$D46</f>
        <v>0</v>
      </c>
      <c r="D45" s="52">
        <f>'RZiS 2023'!$D46</f>
        <v>0</v>
      </c>
      <c r="E45" s="362">
        <f t="shared" si="2"/>
        <v>0</v>
      </c>
      <c r="F45" s="670" t="e">
        <f t="shared" si="3"/>
        <v>#DIV/0!</v>
      </c>
      <c r="G45" s="363">
        <f>'RZiS 2024'!$D46</f>
        <v>0</v>
      </c>
      <c r="H45" s="362">
        <f t="shared" si="6"/>
        <v>0</v>
      </c>
      <c r="I45" s="670" t="e">
        <f t="shared" si="4"/>
        <v>#DIV/0!</v>
      </c>
      <c r="J45" s="363">
        <f>'RZiS 2025'!$D46</f>
        <v>0</v>
      </c>
      <c r="K45" s="362">
        <f t="shared" si="7"/>
        <v>0</v>
      </c>
      <c r="L45" s="670" t="e">
        <f t="shared" si="5"/>
        <v>#DIV/0!</v>
      </c>
    </row>
    <row r="46" spans="1:12" ht="15.75" thickBot="1">
      <c r="A46" s="53" t="s">
        <v>80</v>
      </c>
      <c r="B46" s="251" t="s">
        <v>160</v>
      </c>
      <c r="C46" s="464">
        <f>'RZiS 2022'!$D47</f>
        <v>21431.5</v>
      </c>
      <c r="D46" s="54">
        <f>'RZiS 2023'!$D47</f>
        <v>10000</v>
      </c>
      <c r="E46" s="364">
        <f t="shared" si="2"/>
        <v>-11431.5</v>
      </c>
      <c r="F46" s="671">
        <f t="shared" si="3"/>
        <v>-0.53339710239600591</v>
      </c>
      <c r="G46" s="365">
        <f>'RZiS 2024'!$D47</f>
        <v>10000</v>
      </c>
      <c r="H46" s="364">
        <f t="shared" si="6"/>
        <v>0</v>
      </c>
      <c r="I46" s="671">
        <f t="shared" si="4"/>
        <v>0</v>
      </c>
      <c r="J46" s="365">
        <f>'RZiS 2025'!$D47</f>
        <v>10000</v>
      </c>
      <c r="K46" s="364">
        <f t="shared" si="7"/>
        <v>0</v>
      </c>
      <c r="L46" s="671">
        <f t="shared" si="5"/>
        <v>0</v>
      </c>
    </row>
    <row r="47" spans="1:12" ht="25.5" customHeight="1" thickBot="1">
      <c r="A47" s="55" t="s">
        <v>161</v>
      </c>
      <c r="B47" s="248" t="s">
        <v>162</v>
      </c>
      <c r="C47" s="465">
        <f>'RZiS 2022'!$D48</f>
        <v>173671.87</v>
      </c>
      <c r="D47" s="56">
        <f>'RZiS 2023'!$D48</f>
        <v>120000</v>
      </c>
      <c r="E47" s="356">
        <f t="shared" si="2"/>
        <v>-53671.869999999995</v>
      </c>
      <c r="F47" s="667">
        <f t="shared" si="3"/>
        <v>-0.30904181546499154</v>
      </c>
      <c r="G47" s="366">
        <f>'RZiS 2024'!$D48</f>
        <v>70000</v>
      </c>
      <c r="H47" s="356">
        <f t="shared" si="6"/>
        <v>-50000</v>
      </c>
      <c r="I47" s="667">
        <f t="shared" si="4"/>
        <v>-0.41666666666666669</v>
      </c>
      <c r="J47" s="366">
        <f>'RZiS 2025'!$D48</f>
        <v>75000</v>
      </c>
      <c r="K47" s="356">
        <f t="shared" si="7"/>
        <v>5000</v>
      </c>
      <c r="L47" s="667">
        <f t="shared" si="5"/>
        <v>7.1428571428571425E-2</v>
      </c>
    </row>
    <row r="48" spans="1:12">
      <c r="A48" s="57" t="s">
        <v>8</v>
      </c>
      <c r="B48" s="249" t="s">
        <v>159</v>
      </c>
      <c r="C48" s="466">
        <f>'RZiS 2022'!$D49</f>
        <v>48249.51</v>
      </c>
      <c r="D48" s="58">
        <f>'RZiS 2023'!$D49</f>
        <v>50000</v>
      </c>
      <c r="E48" s="358">
        <f t="shared" si="2"/>
        <v>1750.489999999998</v>
      </c>
      <c r="F48" s="668">
        <f t="shared" si="3"/>
        <v>3.6279953931138323E-2</v>
      </c>
      <c r="G48" s="367">
        <f>'RZiS 2024'!$D49</f>
        <v>50000</v>
      </c>
      <c r="H48" s="368">
        <f t="shared" si="6"/>
        <v>0</v>
      </c>
      <c r="I48" s="675">
        <f t="shared" si="4"/>
        <v>0</v>
      </c>
      <c r="J48" s="367">
        <f>'RZiS 2025'!$D49</f>
        <v>50000</v>
      </c>
      <c r="K48" s="358">
        <f t="shared" si="7"/>
        <v>0</v>
      </c>
      <c r="L48" s="675">
        <f t="shared" si="5"/>
        <v>0</v>
      </c>
    </row>
    <row r="49" spans="1:12">
      <c r="A49" s="51"/>
      <c r="B49" s="250" t="s">
        <v>163</v>
      </c>
      <c r="C49" s="463">
        <f>'RZiS 2022'!$D50</f>
        <v>0</v>
      </c>
      <c r="D49" s="52">
        <f>'RZiS 2023'!$D50</f>
        <v>0</v>
      </c>
      <c r="E49" s="362">
        <f t="shared" si="2"/>
        <v>0</v>
      </c>
      <c r="F49" s="670" t="e">
        <f t="shared" si="3"/>
        <v>#DIV/0!</v>
      </c>
      <c r="G49" s="363">
        <f>'RZiS 2024'!$D50</f>
        <v>0</v>
      </c>
      <c r="H49" s="362">
        <f t="shared" si="6"/>
        <v>0</v>
      </c>
      <c r="I49" s="670" t="e">
        <f t="shared" si="4"/>
        <v>#DIV/0!</v>
      </c>
      <c r="J49" s="363">
        <f>'RZiS 2025'!$D50</f>
        <v>0</v>
      </c>
      <c r="K49" s="362">
        <f t="shared" si="7"/>
        <v>0</v>
      </c>
      <c r="L49" s="670" t="e">
        <f t="shared" si="5"/>
        <v>#DIV/0!</v>
      </c>
    </row>
    <row r="50" spans="1:12">
      <c r="A50" s="51" t="s">
        <v>11</v>
      </c>
      <c r="B50" s="250" t="s">
        <v>179</v>
      </c>
      <c r="C50" s="463">
        <f>'RZiS 2022'!$D51</f>
        <v>0</v>
      </c>
      <c r="D50" s="52">
        <f>'RZiS 2023'!$D51</f>
        <v>0</v>
      </c>
      <c r="E50" s="362">
        <f t="shared" si="2"/>
        <v>0</v>
      </c>
      <c r="F50" s="670" t="e">
        <f t="shared" si="3"/>
        <v>#DIV/0!</v>
      </c>
      <c r="G50" s="363">
        <f>'RZiS 2024'!$D51</f>
        <v>0</v>
      </c>
      <c r="H50" s="362">
        <f t="shared" si="6"/>
        <v>0</v>
      </c>
      <c r="I50" s="670" t="e">
        <f t="shared" si="4"/>
        <v>#DIV/0!</v>
      </c>
      <c r="J50" s="363">
        <f>'RZiS 2025'!$D51</f>
        <v>0</v>
      </c>
      <c r="K50" s="362">
        <f t="shared" si="7"/>
        <v>0</v>
      </c>
      <c r="L50" s="670" t="e">
        <f t="shared" si="5"/>
        <v>#DIV/0!</v>
      </c>
    </row>
    <row r="51" spans="1:12">
      <c r="A51" s="51"/>
      <c r="B51" s="250" t="s">
        <v>125</v>
      </c>
      <c r="C51" s="463">
        <f>'RZiS 2022'!$D52</f>
        <v>0</v>
      </c>
      <c r="D51" s="52">
        <f>'RZiS 2023'!$D52</f>
        <v>0</v>
      </c>
      <c r="E51" s="362">
        <f t="shared" si="2"/>
        <v>0</v>
      </c>
      <c r="F51" s="670" t="e">
        <f t="shared" si="3"/>
        <v>#DIV/0!</v>
      </c>
      <c r="G51" s="363">
        <f>'RZiS 2024'!$D52</f>
        <v>0</v>
      </c>
      <c r="H51" s="362">
        <f t="shared" si="6"/>
        <v>0</v>
      </c>
      <c r="I51" s="670" t="e">
        <f t="shared" si="4"/>
        <v>#DIV/0!</v>
      </c>
      <c r="J51" s="363">
        <f>'RZiS 2025'!$D52</f>
        <v>0</v>
      </c>
      <c r="K51" s="362">
        <f t="shared" si="7"/>
        <v>0</v>
      </c>
      <c r="L51" s="670" t="e">
        <f t="shared" si="5"/>
        <v>#DIV/0!</v>
      </c>
    </row>
    <row r="52" spans="1:12">
      <c r="A52" s="51" t="s">
        <v>16</v>
      </c>
      <c r="B52" s="250" t="s">
        <v>178</v>
      </c>
      <c r="C52" s="463">
        <f>'RZiS 2022'!$D53</f>
        <v>0</v>
      </c>
      <c r="D52" s="52">
        <f>'RZiS 2023'!$D53</f>
        <v>0</v>
      </c>
      <c r="E52" s="362">
        <f t="shared" si="2"/>
        <v>0</v>
      </c>
      <c r="F52" s="670" t="e">
        <f t="shared" si="3"/>
        <v>#DIV/0!</v>
      </c>
      <c r="G52" s="363">
        <f>'RZiS 2024'!$D53</f>
        <v>0</v>
      </c>
      <c r="H52" s="362">
        <f t="shared" si="6"/>
        <v>0</v>
      </c>
      <c r="I52" s="670" t="e">
        <f t="shared" si="4"/>
        <v>#DIV/0!</v>
      </c>
      <c r="J52" s="363">
        <f>'RZiS 2025'!$D53</f>
        <v>0</v>
      </c>
      <c r="K52" s="362">
        <f t="shared" si="7"/>
        <v>0</v>
      </c>
      <c r="L52" s="670" t="e">
        <f t="shared" si="5"/>
        <v>#DIV/0!</v>
      </c>
    </row>
    <row r="53" spans="1:12" ht="15.75" thickBot="1">
      <c r="A53" s="61" t="s">
        <v>20</v>
      </c>
      <c r="B53" s="254" t="s">
        <v>160</v>
      </c>
      <c r="C53" s="468">
        <f>'RZiS 2022'!$D54</f>
        <v>125422.36</v>
      </c>
      <c r="D53" s="62">
        <f>'RZiS 2023'!$D54</f>
        <v>70000</v>
      </c>
      <c r="E53" s="364">
        <f t="shared" si="2"/>
        <v>-55422.36</v>
      </c>
      <c r="F53" s="671">
        <f t="shared" si="3"/>
        <v>-0.44188580090503798</v>
      </c>
      <c r="G53" s="372">
        <f>'RZiS 2024'!$D54</f>
        <v>20000</v>
      </c>
      <c r="H53" s="364">
        <f t="shared" si="6"/>
        <v>-50000</v>
      </c>
      <c r="I53" s="671">
        <f t="shared" si="4"/>
        <v>-0.7142857142857143</v>
      </c>
      <c r="J53" s="372">
        <f>'RZiS 2025'!$D54</f>
        <v>25000</v>
      </c>
      <c r="K53" s="364">
        <f t="shared" si="7"/>
        <v>5000</v>
      </c>
      <c r="L53" s="671">
        <f t="shared" si="5"/>
        <v>0.25</v>
      </c>
    </row>
    <row r="54" spans="1:12" ht="28.5" customHeight="1" thickBot="1">
      <c r="A54" s="45" t="s">
        <v>8</v>
      </c>
      <c r="B54" s="243" t="s">
        <v>164</v>
      </c>
      <c r="C54" s="460">
        <f>'RZiS 2022'!$D55</f>
        <v>6814035.1300000008</v>
      </c>
      <c r="D54" s="46">
        <f>'RZiS 2023'!$D55</f>
        <v>5664000</v>
      </c>
      <c r="E54" s="356">
        <f t="shared" si="2"/>
        <v>-1150035.1300000008</v>
      </c>
      <c r="F54" s="667">
        <f t="shared" si="3"/>
        <v>-0.16877446447799582</v>
      </c>
      <c r="G54" s="373">
        <f>'RZiS 2024'!$D55</f>
        <v>6064000</v>
      </c>
      <c r="H54" s="356">
        <f t="shared" si="6"/>
        <v>400000</v>
      </c>
      <c r="I54" s="667">
        <f t="shared" si="4"/>
        <v>7.0621468926553674E-2</v>
      </c>
      <c r="J54" s="373">
        <f>'RZiS 2025'!$D55</f>
        <v>6315000</v>
      </c>
      <c r="K54" s="356">
        <f t="shared" si="7"/>
        <v>251000</v>
      </c>
      <c r="L54" s="667">
        <f t="shared" si="5"/>
        <v>4.1391820580474935E-2</v>
      </c>
    </row>
    <row r="55" spans="1:12">
      <c r="A55" s="63" t="s">
        <v>165</v>
      </c>
      <c r="B55" s="255" t="s">
        <v>166</v>
      </c>
      <c r="C55" s="461">
        <f>'RZiS 2022'!$D56</f>
        <v>307863</v>
      </c>
      <c r="D55" s="48">
        <f>'RZiS 2023'!$D56</f>
        <v>0</v>
      </c>
      <c r="E55" s="358">
        <f t="shared" si="2"/>
        <v>-307863</v>
      </c>
      <c r="F55" s="668">
        <f t="shared" si="3"/>
        <v>-1</v>
      </c>
      <c r="G55" s="359">
        <f>'RZiS 2024'!$D56</f>
        <v>0</v>
      </c>
      <c r="H55" s="358">
        <f t="shared" si="6"/>
        <v>0</v>
      </c>
      <c r="I55" s="668" t="e">
        <f t="shared" si="4"/>
        <v>#DIV/0!</v>
      </c>
      <c r="J55" s="359">
        <f>'RZiS 2025'!$D56</f>
        <v>0</v>
      </c>
      <c r="K55" s="358">
        <f t="shared" si="7"/>
        <v>0</v>
      </c>
      <c r="L55" s="668" t="e">
        <f t="shared" si="5"/>
        <v>#DIV/0!</v>
      </c>
    </row>
    <row r="56" spans="1:12" ht="30.75" thickBot="1">
      <c r="A56" s="64" t="s">
        <v>167</v>
      </c>
      <c r="B56" s="256" t="s">
        <v>168</v>
      </c>
      <c r="C56" s="468">
        <f>'RZiS 2022'!$D57</f>
        <v>0</v>
      </c>
      <c r="D56" s="62">
        <f>'RZiS 2023'!$D57</f>
        <v>0</v>
      </c>
      <c r="E56" s="364">
        <f t="shared" si="2"/>
        <v>0</v>
      </c>
      <c r="F56" s="671" t="e">
        <f t="shared" si="3"/>
        <v>#DIV/0!</v>
      </c>
      <c r="G56" s="372">
        <f>'RZiS 2024'!$D57</f>
        <v>0</v>
      </c>
      <c r="H56" s="364">
        <f t="shared" si="6"/>
        <v>0</v>
      </c>
      <c r="I56" s="671" t="e">
        <f t="shared" si="4"/>
        <v>#DIV/0!</v>
      </c>
      <c r="J56" s="372">
        <f>'RZiS 2025'!$D57</f>
        <v>0</v>
      </c>
      <c r="K56" s="364">
        <f t="shared" si="7"/>
        <v>0</v>
      </c>
      <c r="L56" s="671" t="e">
        <f t="shared" si="5"/>
        <v>#DIV/0!</v>
      </c>
    </row>
    <row r="57" spans="1:12" ht="28.5" customHeight="1" thickBot="1">
      <c r="A57" s="45" t="s">
        <v>169</v>
      </c>
      <c r="B57" s="243" t="s">
        <v>170</v>
      </c>
      <c r="C57" s="460">
        <f>'RZiS 2022'!$D58</f>
        <v>6506172.1300000008</v>
      </c>
      <c r="D57" s="46">
        <f>'RZiS 2023'!$D58</f>
        <v>5664000</v>
      </c>
      <c r="E57" s="356">
        <f t="shared" si="2"/>
        <v>-842172.13000000082</v>
      </c>
      <c r="F57" s="667">
        <f t="shared" si="3"/>
        <v>-0.12944203030177143</v>
      </c>
      <c r="G57" s="373">
        <f>'RZiS 2024'!$D58</f>
        <v>6064000</v>
      </c>
      <c r="H57" s="356">
        <f t="shared" si="6"/>
        <v>400000</v>
      </c>
      <c r="I57" s="667">
        <f t="shared" si="4"/>
        <v>7.0621468926553674E-2</v>
      </c>
      <c r="J57" s="373">
        <f>'RZiS 2025'!$D58</f>
        <v>6315000</v>
      </c>
      <c r="K57" s="356">
        <f t="shared" si="7"/>
        <v>251000</v>
      </c>
      <c r="L57" s="667">
        <f t="shared" si="5"/>
        <v>4.1391820580474935E-2</v>
      </c>
    </row>
    <row r="60" spans="1:12" ht="15" customHeight="1">
      <c r="A60" s="686" t="s">
        <v>117</v>
      </c>
      <c r="B60" s="686"/>
      <c r="C60" s="686" t="s">
        <v>118</v>
      </c>
      <c r="D60" s="686"/>
      <c r="G60" s="686" t="s">
        <v>118</v>
      </c>
      <c r="H60" s="686"/>
      <c r="I60" s="686"/>
      <c r="J60" s="686"/>
    </row>
    <row r="61" spans="1:12" ht="15" customHeight="1">
      <c r="A61" s="685" t="s">
        <v>207</v>
      </c>
      <c r="B61" s="685"/>
      <c r="C61" s="685" t="s">
        <v>119</v>
      </c>
      <c r="D61" s="685"/>
      <c r="G61" s="685" t="s">
        <v>119</v>
      </c>
      <c r="H61" s="685"/>
      <c r="I61" s="685"/>
      <c r="J61" s="685"/>
    </row>
    <row r="62" spans="1:12">
      <c r="A62" s="685"/>
      <c r="B62" s="685"/>
    </row>
    <row r="65" spans="3:10">
      <c r="C65" s="351">
        <f>C7+C25+C35</f>
        <v>253171924.49999997</v>
      </c>
      <c r="D65" s="351">
        <f>D7+D25+D35</f>
        <v>268054000</v>
      </c>
      <c r="G65" s="351">
        <f>G7+G25+G35</f>
        <v>282634000</v>
      </c>
      <c r="J65" s="351">
        <f>J7+J25+J35</f>
        <v>303290000</v>
      </c>
    </row>
    <row r="66" spans="3:10">
      <c r="C66" s="351">
        <f>C13+C30+C47+C55</f>
        <v>246665752.37</v>
      </c>
      <c r="D66" s="351">
        <f>D13+D30+D47+D55</f>
        <v>262390000</v>
      </c>
      <c r="G66" s="351">
        <f>G13+G30+G47+G55</f>
        <v>276570000</v>
      </c>
      <c r="J66" s="351">
        <f>J13+J30+J47+J55</f>
        <v>296975000</v>
      </c>
    </row>
  </sheetData>
  <mergeCells count="11">
    <mergeCell ref="A61:B62"/>
    <mergeCell ref="C61:D61"/>
    <mergeCell ref="G61:J61"/>
    <mergeCell ref="A2:B2"/>
    <mergeCell ref="A3:B3"/>
    <mergeCell ref="C3:D3"/>
    <mergeCell ref="G3:J3"/>
    <mergeCell ref="A4:J4"/>
    <mergeCell ref="A60:B60"/>
    <mergeCell ref="C60:D60"/>
    <mergeCell ref="G60:J60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3"/>
  <sheetViews>
    <sheetView view="pageBreakPreview" zoomScaleNormal="120" zoomScaleSheetLayoutView="100" workbookViewId="0">
      <pane xSplit="2" ySplit="8" topLeftCell="C45" activePane="bottomRight" state="frozen"/>
      <selection activeCell="C6" sqref="C6:D56"/>
      <selection pane="topRight" activeCell="C6" sqref="C6:D56"/>
      <selection pane="bottomLeft" activeCell="C6" sqref="C6:D56"/>
      <selection pane="bottomRight" activeCell="E1" sqref="E1"/>
    </sheetView>
  </sheetViews>
  <sheetFormatPr defaultRowHeight="15"/>
  <cols>
    <col min="1" max="1" width="7.28515625" bestFit="1" customWidth="1"/>
    <col min="2" max="2" width="54.140625" customWidth="1"/>
    <col min="3" max="3" width="17.42578125" customWidth="1"/>
    <col min="4" max="4" width="16" customWidth="1"/>
    <col min="5" max="5" width="15.85546875" customWidth="1"/>
    <col min="6" max="6" width="12.140625" customWidth="1"/>
  </cols>
  <sheetData>
    <row r="1" spans="1:6" s="518" customFormat="1">
      <c r="A1" s="536"/>
      <c r="B1" s="534"/>
      <c r="C1" s="534"/>
      <c r="D1" s="534"/>
      <c r="E1" s="518" t="s">
        <v>327</v>
      </c>
    </row>
    <row r="2" spans="1:6" s="518" customFormat="1">
      <c r="A2" s="701" t="s">
        <v>0</v>
      </c>
      <c r="B2" s="701"/>
      <c r="C2" s="534"/>
      <c r="D2" s="534"/>
    </row>
    <row r="3" spans="1:6" ht="15.75" thickBot="1">
      <c r="A3" s="702" t="s">
        <v>120</v>
      </c>
      <c r="B3" s="702"/>
      <c r="C3" s="687" t="s">
        <v>205</v>
      </c>
      <c r="D3" s="687"/>
    </row>
    <row r="4" spans="1:6" ht="20.25" customHeight="1">
      <c r="A4" s="703" t="s">
        <v>308</v>
      </c>
      <c r="B4" s="703"/>
      <c r="C4" s="703"/>
      <c r="D4" s="703"/>
      <c r="E4" s="703"/>
      <c r="F4" s="703"/>
    </row>
    <row r="5" spans="1:6" ht="15.75" thickBot="1">
      <c r="A5" s="43"/>
      <c r="B5" s="42"/>
      <c r="C5" s="42"/>
      <c r="D5" s="44"/>
    </row>
    <row r="6" spans="1:6">
      <c r="A6" s="691" t="s">
        <v>121</v>
      </c>
      <c r="B6" s="698" t="s">
        <v>122</v>
      </c>
      <c r="C6" s="693" t="s">
        <v>123</v>
      </c>
      <c r="D6" s="695"/>
      <c r="E6" s="693" t="s">
        <v>208</v>
      </c>
      <c r="F6" s="695" t="s">
        <v>209</v>
      </c>
    </row>
    <row r="7" spans="1:6" ht="15.75" thickBot="1">
      <c r="A7" s="697"/>
      <c r="B7" s="704"/>
      <c r="C7" s="153">
        <f ca="1">D7-1</f>
        <v>2021</v>
      </c>
      <c r="D7" s="592" t="str">
        <f ca="1">RIGHT(CELL("nazwa_pliku",A1),4)</f>
        <v>2022</v>
      </c>
      <c r="E7" s="694"/>
      <c r="F7" s="696"/>
    </row>
    <row r="8" spans="1:6" ht="29.25" customHeight="1" thickBot="1">
      <c r="A8" s="45" t="s">
        <v>5</v>
      </c>
      <c r="B8" s="243" t="s">
        <v>124</v>
      </c>
      <c r="C8" s="257">
        <f>C10+C11+C12+C13</f>
        <v>252264026.06</v>
      </c>
      <c r="D8" s="46">
        <f>D10+D11+D12+D13</f>
        <v>237021627.56999999</v>
      </c>
      <c r="E8" s="114">
        <f>D8-C8</f>
        <v>-15242398.49000001</v>
      </c>
      <c r="F8" s="115">
        <f>E8/C8</f>
        <v>-6.0422402385565135E-2</v>
      </c>
    </row>
    <row r="9" spans="1:6">
      <c r="A9" s="47"/>
      <c r="B9" s="244" t="s">
        <v>125</v>
      </c>
      <c r="C9" s="519"/>
      <c r="D9" s="520"/>
      <c r="E9" s="240">
        <f t="shared" ref="E9:E58" si="0">D9-C9</f>
        <v>0</v>
      </c>
      <c r="F9" s="237" t="e">
        <f t="shared" ref="F9:F58" si="1">E9/C9</f>
        <v>#DIV/0!</v>
      </c>
    </row>
    <row r="10" spans="1:6">
      <c r="A10" s="49" t="s">
        <v>8</v>
      </c>
      <c r="B10" s="245" t="s">
        <v>126</v>
      </c>
      <c r="C10" s="521">
        <v>250625697.91999999</v>
      </c>
      <c r="D10" s="522">
        <v>234121303.34</v>
      </c>
      <c r="E10" s="238">
        <f t="shared" si="0"/>
        <v>-16504394.579999983</v>
      </c>
      <c r="F10" s="235">
        <f t="shared" si="1"/>
        <v>-6.5852762573725396E-2</v>
      </c>
    </row>
    <row r="11" spans="1:6" ht="46.5" customHeight="1">
      <c r="A11" s="51" t="s">
        <v>11</v>
      </c>
      <c r="B11" s="246" t="s">
        <v>127</v>
      </c>
      <c r="C11" s="523">
        <v>-1723124.91</v>
      </c>
      <c r="D11" s="524">
        <v>-1081815.74</v>
      </c>
      <c r="E11" s="238">
        <f t="shared" si="0"/>
        <v>641309.16999999993</v>
      </c>
      <c r="F11" s="235">
        <f t="shared" si="1"/>
        <v>-0.37217799259834272</v>
      </c>
    </row>
    <row r="12" spans="1:6" ht="30">
      <c r="A12" s="51" t="s">
        <v>16</v>
      </c>
      <c r="B12" s="246" t="s">
        <v>128</v>
      </c>
      <c r="C12" s="523"/>
      <c r="D12" s="524"/>
      <c r="E12" s="238">
        <f t="shared" si="0"/>
        <v>0</v>
      </c>
      <c r="F12" s="235" t="e">
        <f t="shared" si="1"/>
        <v>#DIV/0!</v>
      </c>
    </row>
    <row r="13" spans="1:6" ht="15.75" thickBot="1">
      <c r="A13" s="53" t="s">
        <v>20</v>
      </c>
      <c r="B13" s="247" t="s">
        <v>129</v>
      </c>
      <c r="C13" s="525">
        <v>3361453.05</v>
      </c>
      <c r="D13" s="526">
        <v>3982139.97</v>
      </c>
      <c r="E13" s="239">
        <f t="shared" si="0"/>
        <v>620686.92000000039</v>
      </c>
      <c r="F13" s="236">
        <f t="shared" si="1"/>
        <v>0.18464839781117884</v>
      </c>
    </row>
    <row r="14" spans="1:6" ht="31.5" customHeight="1" thickBot="1">
      <c r="A14" s="55" t="s">
        <v>41</v>
      </c>
      <c r="B14" s="248" t="s">
        <v>130</v>
      </c>
      <c r="C14" s="262">
        <f>C15+C16+C17+C18+C20+C21+C23+C24</f>
        <v>251761731.16999999</v>
      </c>
      <c r="D14" s="56">
        <f>D15+D16+D17+D18+D20+D21+D23+D24</f>
        <v>242558505.78999999</v>
      </c>
      <c r="E14" s="114">
        <f t="shared" si="0"/>
        <v>-9203225.3799999952</v>
      </c>
      <c r="F14" s="115">
        <f t="shared" si="1"/>
        <v>-3.6555299080723254E-2</v>
      </c>
    </row>
    <row r="15" spans="1:6">
      <c r="A15" s="57" t="s">
        <v>8</v>
      </c>
      <c r="B15" s="249" t="s">
        <v>131</v>
      </c>
      <c r="C15" s="527">
        <v>3713497.83</v>
      </c>
      <c r="D15" s="528">
        <v>4883989.4000000004</v>
      </c>
      <c r="E15" s="240">
        <f t="shared" si="0"/>
        <v>1170491.5700000003</v>
      </c>
      <c r="F15" s="237">
        <f t="shared" si="1"/>
        <v>0.31519920667356371</v>
      </c>
    </row>
    <row r="16" spans="1:6">
      <c r="A16" s="51" t="s">
        <v>11</v>
      </c>
      <c r="B16" s="250" t="s">
        <v>132</v>
      </c>
      <c r="C16" s="523">
        <v>15520989.029999999</v>
      </c>
      <c r="D16" s="524">
        <v>9728206.0299999993</v>
      </c>
      <c r="E16" s="238">
        <f t="shared" si="0"/>
        <v>-5792783</v>
      </c>
      <c r="F16" s="235">
        <f t="shared" si="1"/>
        <v>-0.37322254328015592</v>
      </c>
    </row>
    <row r="17" spans="1:8">
      <c r="A17" s="51" t="s">
        <v>16</v>
      </c>
      <c r="B17" s="250" t="s">
        <v>133</v>
      </c>
      <c r="C17" s="523">
        <v>105549281.12</v>
      </c>
      <c r="D17" s="524">
        <v>105817079.56999999</v>
      </c>
      <c r="E17" s="238">
        <f t="shared" si="0"/>
        <v>267798.44999998808</v>
      </c>
      <c r="F17" s="235">
        <f t="shared" si="1"/>
        <v>2.5371887629961724E-3</v>
      </c>
    </row>
    <row r="18" spans="1:8">
      <c r="A18" s="51" t="s">
        <v>20</v>
      </c>
      <c r="B18" s="250" t="s">
        <v>134</v>
      </c>
      <c r="C18" s="523">
        <v>794228.11</v>
      </c>
      <c r="D18" s="524">
        <v>809487.91</v>
      </c>
      <c r="E18" s="238">
        <f t="shared" si="0"/>
        <v>15259.800000000047</v>
      </c>
      <c r="F18" s="235">
        <f t="shared" si="1"/>
        <v>1.9213371835957869E-2</v>
      </c>
    </row>
    <row r="19" spans="1:8">
      <c r="A19" s="51"/>
      <c r="B19" s="250" t="s">
        <v>135</v>
      </c>
      <c r="C19" s="523"/>
      <c r="D19" s="524"/>
      <c r="E19" s="238">
        <f t="shared" si="0"/>
        <v>0</v>
      </c>
      <c r="F19" s="235" t="e">
        <f t="shared" si="1"/>
        <v>#DIV/0!</v>
      </c>
    </row>
    <row r="20" spans="1:8" ht="15.75" thickBot="1">
      <c r="A20" s="51" t="s">
        <v>80</v>
      </c>
      <c r="B20" s="250" t="s">
        <v>136</v>
      </c>
      <c r="C20" s="523">
        <v>98445333.939999998</v>
      </c>
      <c r="D20" s="524">
        <v>93899636.150000006</v>
      </c>
      <c r="E20" s="238">
        <f t="shared" si="0"/>
        <v>-4545697.7899999917</v>
      </c>
      <c r="F20" s="235">
        <f t="shared" si="1"/>
        <v>-4.6174842504678612E-2</v>
      </c>
    </row>
    <row r="21" spans="1:8" ht="15.75" thickBot="1">
      <c r="A21" s="51" t="s">
        <v>33</v>
      </c>
      <c r="B21" s="246" t="s">
        <v>137</v>
      </c>
      <c r="C21" s="523">
        <v>20758238.170000002</v>
      </c>
      <c r="D21" s="524">
        <v>20268413.629999999</v>
      </c>
      <c r="E21" s="238">
        <f t="shared" si="0"/>
        <v>-489824.54000000283</v>
      </c>
      <c r="F21" s="235">
        <f t="shared" si="1"/>
        <v>-2.3596633586558505E-2</v>
      </c>
      <c r="H21" s="113"/>
    </row>
    <row r="22" spans="1:8">
      <c r="A22" s="51"/>
      <c r="B22" s="250" t="s">
        <v>138</v>
      </c>
      <c r="C22" s="523">
        <v>8420870.1699999999</v>
      </c>
      <c r="D22" s="524">
        <v>8198161.9299999997</v>
      </c>
      <c r="E22" s="238">
        <f t="shared" si="0"/>
        <v>-222708.24000000022</v>
      </c>
      <c r="F22" s="235">
        <f t="shared" si="1"/>
        <v>-2.6447176539238844E-2</v>
      </c>
    </row>
    <row r="23" spans="1:8">
      <c r="A23" s="51" t="s">
        <v>37</v>
      </c>
      <c r="B23" s="250" t="s">
        <v>139</v>
      </c>
      <c r="C23" s="523">
        <v>3849505.96</v>
      </c>
      <c r="D23" s="524">
        <v>3344367.6</v>
      </c>
      <c r="E23" s="238">
        <f t="shared" si="0"/>
        <v>-505138.35999999987</v>
      </c>
      <c r="F23" s="235">
        <f t="shared" si="1"/>
        <v>-0.1312216074605064</v>
      </c>
    </row>
    <row r="24" spans="1:8" ht="15.75" thickBot="1">
      <c r="A24" s="53" t="s">
        <v>140</v>
      </c>
      <c r="B24" s="251" t="s">
        <v>141</v>
      </c>
      <c r="C24" s="525">
        <v>3130657.01</v>
      </c>
      <c r="D24" s="526">
        <v>3807325.5</v>
      </c>
      <c r="E24" s="239">
        <f t="shared" si="0"/>
        <v>676668.49000000022</v>
      </c>
      <c r="F24" s="236">
        <f t="shared" si="1"/>
        <v>0.21614264604476754</v>
      </c>
    </row>
    <row r="25" spans="1:8" ht="28.5" customHeight="1" thickBot="1">
      <c r="A25" s="55" t="s">
        <v>142</v>
      </c>
      <c r="B25" s="248" t="s">
        <v>143</v>
      </c>
      <c r="C25" s="262">
        <f>C8-C14</f>
        <v>502294.8900000155</v>
      </c>
      <c r="D25" s="56">
        <f>D8-D14</f>
        <v>-5536878.2199999988</v>
      </c>
      <c r="E25" s="114">
        <f t="shared" si="0"/>
        <v>-6039173.1100000143</v>
      </c>
      <c r="F25" s="115">
        <f t="shared" si="1"/>
        <v>-12.023162548995527</v>
      </c>
    </row>
    <row r="26" spans="1:8" ht="15.75" thickBot="1">
      <c r="A26" s="55" t="s">
        <v>144</v>
      </c>
      <c r="B26" s="248" t="s">
        <v>145</v>
      </c>
      <c r="C26" s="262">
        <f>C27+C28+C29+C30</f>
        <v>16013284.619999999</v>
      </c>
      <c r="D26" s="56">
        <f>D27+D28+D29+D30</f>
        <v>15638531.23</v>
      </c>
      <c r="E26" s="241">
        <f t="shared" si="0"/>
        <v>-374753.38999999873</v>
      </c>
      <c r="F26" s="242">
        <f t="shared" si="1"/>
        <v>-2.3402655913075176E-2</v>
      </c>
    </row>
    <row r="27" spans="1:8">
      <c r="A27" s="57" t="s">
        <v>8</v>
      </c>
      <c r="B27" s="252" t="s">
        <v>174</v>
      </c>
      <c r="C27" s="527"/>
      <c r="D27" s="528"/>
      <c r="E27" s="240">
        <f t="shared" si="0"/>
        <v>0</v>
      </c>
      <c r="F27" s="237" t="e">
        <f t="shared" si="1"/>
        <v>#DIV/0!</v>
      </c>
    </row>
    <row r="28" spans="1:8">
      <c r="A28" s="51" t="s">
        <v>11</v>
      </c>
      <c r="B28" s="250" t="s">
        <v>146</v>
      </c>
      <c r="C28" s="523">
        <v>8091989.5199999996</v>
      </c>
      <c r="D28" s="524">
        <v>12037083.33</v>
      </c>
      <c r="E28" s="238">
        <f t="shared" si="0"/>
        <v>3945093.8100000005</v>
      </c>
      <c r="F28" s="235">
        <f t="shared" si="1"/>
        <v>0.48753076116193494</v>
      </c>
    </row>
    <row r="29" spans="1:8">
      <c r="A29" s="53" t="s">
        <v>16</v>
      </c>
      <c r="B29" s="247" t="s">
        <v>147</v>
      </c>
      <c r="C29" s="525"/>
      <c r="D29" s="526"/>
      <c r="E29" s="238">
        <f t="shared" si="0"/>
        <v>0</v>
      </c>
      <c r="F29" s="235" t="e">
        <f t="shared" si="1"/>
        <v>#DIV/0!</v>
      </c>
    </row>
    <row r="30" spans="1:8" ht="15.75" thickBot="1">
      <c r="A30" s="53" t="s">
        <v>20</v>
      </c>
      <c r="B30" s="251" t="s">
        <v>148</v>
      </c>
      <c r="C30" s="525">
        <v>7921295.0999999996</v>
      </c>
      <c r="D30" s="526">
        <v>3601447.9</v>
      </c>
      <c r="E30" s="239">
        <f t="shared" si="0"/>
        <v>-4319847.1999999993</v>
      </c>
      <c r="F30" s="236">
        <f t="shared" si="1"/>
        <v>-0.54534607604758967</v>
      </c>
    </row>
    <row r="31" spans="1:8" ht="30" customHeight="1" thickBot="1">
      <c r="A31" s="55" t="s">
        <v>149</v>
      </c>
      <c r="B31" s="248" t="s">
        <v>150</v>
      </c>
      <c r="C31" s="262">
        <f>C32+C33+C34</f>
        <v>3387546.7600000002</v>
      </c>
      <c r="D31" s="56">
        <f>D32+D33+D34</f>
        <v>3625711.7100000004</v>
      </c>
      <c r="E31" s="114">
        <f t="shared" si="0"/>
        <v>238164.95000000019</v>
      </c>
      <c r="F31" s="115">
        <f t="shared" si="1"/>
        <v>7.0306025827374899E-2</v>
      </c>
    </row>
    <row r="32" spans="1:8">
      <c r="A32" s="57" t="s">
        <v>8</v>
      </c>
      <c r="B32" s="252" t="s">
        <v>175</v>
      </c>
      <c r="C32" s="527">
        <v>29327.25</v>
      </c>
      <c r="D32" s="528">
        <v>64392.22</v>
      </c>
      <c r="E32" s="240">
        <f t="shared" si="0"/>
        <v>35064.97</v>
      </c>
      <c r="F32" s="237">
        <f t="shared" si="1"/>
        <v>1.1956446649447188</v>
      </c>
    </row>
    <row r="33" spans="1:14">
      <c r="A33" s="51" t="s">
        <v>11</v>
      </c>
      <c r="B33" s="246" t="s">
        <v>147</v>
      </c>
      <c r="C33" s="523">
        <v>124057.77</v>
      </c>
      <c r="D33" s="524">
        <v>130868</v>
      </c>
      <c r="E33" s="238">
        <f t="shared" si="0"/>
        <v>6810.2299999999959</v>
      </c>
      <c r="F33" s="235">
        <f t="shared" si="1"/>
        <v>5.4895634509632051E-2</v>
      </c>
    </row>
    <row r="34" spans="1:14" ht="15.75" thickBot="1">
      <c r="A34" s="53" t="s">
        <v>16</v>
      </c>
      <c r="B34" s="251" t="s">
        <v>151</v>
      </c>
      <c r="C34" s="525">
        <v>3234161.74</v>
      </c>
      <c r="D34" s="526">
        <v>3430451.49</v>
      </c>
      <c r="E34" s="239">
        <f t="shared" si="0"/>
        <v>196289.75</v>
      </c>
      <c r="F34" s="236">
        <f t="shared" si="1"/>
        <v>6.0692620153251824E-2</v>
      </c>
    </row>
    <row r="35" spans="1:14" ht="32.25" customHeight="1" thickBot="1">
      <c r="A35" s="55" t="s">
        <v>152</v>
      </c>
      <c r="B35" s="248" t="s">
        <v>153</v>
      </c>
      <c r="C35" s="262">
        <f>C25+C26-C31</f>
        <v>13128032.750000015</v>
      </c>
      <c r="D35" s="56">
        <f>D25+D26-D31</f>
        <v>6475941.3000000007</v>
      </c>
      <c r="E35" s="114">
        <f t="shared" si="0"/>
        <v>-6652091.4500000142</v>
      </c>
      <c r="F35" s="115">
        <f t="shared" si="1"/>
        <v>-0.50670893169427889</v>
      </c>
    </row>
    <row r="36" spans="1:14" ht="28.5" customHeight="1" thickBot="1">
      <c r="A36" s="59" t="s">
        <v>154</v>
      </c>
      <c r="B36" s="253" t="s">
        <v>155</v>
      </c>
      <c r="C36" s="264">
        <f>C37+C42+C44+C46+C47</f>
        <v>4661.26</v>
      </c>
      <c r="D36" s="60">
        <f>D37+D42+D44+D46+D47</f>
        <v>511765.7</v>
      </c>
      <c r="E36" s="241">
        <f t="shared" si="0"/>
        <v>507104.44</v>
      </c>
      <c r="F36" s="242">
        <f t="shared" si="1"/>
        <v>108.79127961109228</v>
      </c>
      <c r="N36" s="684"/>
    </row>
    <row r="37" spans="1:14">
      <c r="A37" s="57" t="s">
        <v>8</v>
      </c>
      <c r="B37" s="249" t="s">
        <v>156</v>
      </c>
      <c r="C37" s="263">
        <f>C38+C40</f>
        <v>0</v>
      </c>
      <c r="D37" s="452">
        <f>D38+D40</f>
        <v>0</v>
      </c>
      <c r="E37" s="240">
        <f t="shared" si="0"/>
        <v>0</v>
      </c>
      <c r="F37" s="237" t="e">
        <f t="shared" si="1"/>
        <v>#DIV/0!</v>
      </c>
    </row>
    <row r="38" spans="1:14">
      <c r="A38" s="51"/>
      <c r="B38" s="250" t="s">
        <v>176</v>
      </c>
      <c r="C38" s="523"/>
      <c r="D38" s="524"/>
      <c r="E38" s="238">
        <f t="shared" si="0"/>
        <v>0</v>
      </c>
      <c r="F38" s="235" t="e">
        <f t="shared" si="1"/>
        <v>#DIV/0!</v>
      </c>
    </row>
    <row r="39" spans="1:14" ht="30">
      <c r="A39" s="51"/>
      <c r="B39" s="246" t="s">
        <v>157</v>
      </c>
      <c r="C39" s="523"/>
      <c r="D39" s="524"/>
      <c r="E39" s="238">
        <f t="shared" si="0"/>
        <v>0</v>
      </c>
      <c r="F39" s="235" t="e">
        <f t="shared" si="1"/>
        <v>#DIV/0!</v>
      </c>
    </row>
    <row r="40" spans="1:14">
      <c r="A40" s="51"/>
      <c r="B40" s="250" t="s">
        <v>158</v>
      </c>
      <c r="C40" s="523"/>
      <c r="D40" s="524"/>
      <c r="E40" s="238">
        <f t="shared" si="0"/>
        <v>0</v>
      </c>
      <c r="F40" s="235" t="e">
        <f t="shared" si="1"/>
        <v>#DIV/0!</v>
      </c>
    </row>
    <row r="41" spans="1:14" ht="30">
      <c r="A41" s="51"/>
      <c r="B41" s="246" t="s">
        <v>157</v>
      </c>
      <c r="C41" s="523"/>
      <c r="D41" s="524"/>
      <c r="E41" s="238">
        <f t="shared" si="0"/>
        <v>0</v>
      </c>
      <c r="F41" s="235" t="e">
        <f t="shared" si="1"/>
        <v>#DIV/0!</v>
      </c>
    </row>
    <row r="42" spans="1:14">
      <c r="A42" s="51" t="s">
        <v>11</v>
      </c>
      <c r="B42" s="250" t="s">
        <v>159</v>
      </c>
      <c r="C42" s="523">
        <v>3058.45</v>
      </c>
      <c r="D42" s="524">
        <v>490334.2</v>
      </c>
      <c r="E42" s="238">
        <f t="shared" si="0"/>
        <v>487275.75</v>
      </c>
      <c r="F42" s="235">
        <f t="shared" si="1"/>
        <v>159.32114306266246</v>
      </c>
    </row>
    <row r="43" spans="1:14">
      <c r="A43" s="51"/>
      <c r="B43" s="250" t="s">
        <v>125</v>
      </c>
      <c r="C43" s="523"/>
      <c r="D43" s="524"/>
      <c r="E43" s="238">
        <f t="shared" si="0"/>
        <v>0</v>
      </c>
      <c r="F43" s="235" t="e">
        <f t="shared" si="1"/>
        <v>#DIV/0!</v>
      </c>
    </row>
    <row r="44" spans="1:14">
      <c r="A44" s="51" t="s">
        <v>16</v>
      </c>
      <c r="B44" s="250" t="s">
        <v>177</v>
      </c>
      <c r="C44" s="523"/>
      <c r="D44" s="524"/>
      <c r="E44" s="238">
        <f t="shared" si="0"/>
        <v>0</v>
      </c>
      <c r="F44" s="235" t="e">
        <f t="shared" si="1"/>
        <v>#DIV/0!</v>
      </c>
    </row>
    <row r="45" spans="1:14">
      <c r="A45" s="51"/>
      <c r="B45" s="250" t="s">
        <v>125</v>
      </c>
      <c r="C45" s="523"/>
      <c r="D45" s="524"/>
      <c r="E45" s="238">
        <f t="shared" si="0"/>
        <v>0</v>
      </c>
      <c r="F45" s="235" t="e">
        <f t="shared" si="1"/>
        <v>#DIV/0!</v>
      </c>
    </row>
    <row r="46" spans="1:14">
      <c r="A46" s="51" t="s">
        <v>20</v>
      </c>
      <c r="B46" s="250" t="s">
        <v>178</v>
      </c>
      <c r="C46" s="523"/>
      <c r="D46" s="524"/>
      <c r="E46" s="238">
        <f t="shared" si="0"/>
        <v>0</v>
      </c>
      <c r="F46" s="235" t="e">
        <f t="shared" si="1"/>
        <v>#DIV/0!</v>
      </c>
    </row>
    <row r="47" spans="1:14" ht="15.75" thickBot="1">
      <c r="A47" s="53" t="s">
        <v>80</v>
      </c>
      <c r="B47" s="251" t="s">
        <v>160</v>
      </c>
      <c r="C47" s="525">
        <v>1602.81</v>
      </c>
      <c r="D47" s="526">
        <v>21431.5</v>
      </c>
      <c r="E47" s="239">
        <f t="shared" si="0"/>
        <v>19828.689999999999</v>
      </c>
      <c r="F47" s="236">
        <f t="shared" si="1"/>
        <v>12.371204322408769</v>
      </c>
    </row>
    <row r="48" spans="1:14" ht="25.5" customHeight="1" thickBot="1">
      <c r="A48" s="55" t="s">
        <v>161</v>
      </c>
      <c r="B48" s="248" t="s">
        <v>162</v>
      </c>
      <c r="C48" s="262">
        <f>C49+C51+C53+C54</f>
        <v>74835.680000000008</v>
      </c>
      <c r="D48" s="56">
        <f>D49+D51+D53+D54</f>
        <v>173671.87</v>
      </c>
      <c r="E48" s="114">
        <f t="shared" si="0"/>
        <v>98836.189999999988</v>
      </c>
      <c r="F48" s="115">
        <f t="shared" si="1"/>
        <v>1.3207094530309604</v>
      </c>
    </row>
    <row r="49" spans="1:6">
      <c r="A49" s="57" t="s">
        <v>8</v>
      </c>
      <c r="B49" s="249" t="s">
        <v>159</v>
      </c>
      <c r="C49" s="527">
        <v>7621.27</v>
      </c>
      <c r="D49" s="528">
        <v>48249.51</v>
      </c>
      <c r="E49" s="240">
        <f t="shared" si="0"/>
        <v>40628.240000000005</v>
      </c>
      <c r="F49" s="237">
        <f t="shared" si="1"/>
        <v>5.3309015426562771</v>
      </c>
    </row>
    <row r="50" spans="1:6">
      <c r="A50" s="51"/>
      <c r="B50" s="250" t="s">
        <v>163</v>
      </c>
      <c r="C50" s="523"/>
      <c r="D50" s="524"/>
      <c r="E50" s="238">
        <f t="shared" si="0"/>
        <v>0</v>
      </c>
      <c r="F50" s="235" t="e">
        <f t="shared" si="1"/>
        <v>#DIV/0!</v>
      </c>
    </row>
    <row r="51" spans="1:6">
      <c r="A51" s="51" t="s">
        <v>11</v>
      </c>
      <c r="B51" s="250" t="s">
        <v>179</v>
      </c>
      <c r="C51" s="523"/>
      <c r="D51" s="524"/>
      <c r="E51" s="238">
        <f t="shared" si="0"/>
        <v>0</v>
      </c>
      <c r="F51" s="235" t="e">
        <f t="shared" si="1"/>
        <v>#DIV/0!</v>
      </c>
    </row>
    <row r="52" spans="1:6">
      <c r="A52" s="51"/>
      <c r="B52" s="250" t="s">
        <v>125</v>
      </c>
      <c r="C52" s="523"/>
      <c r="D52" s="524"/>
      <c r="E52" s="238">
        <f t="shared" si="0"/>
        <v>0</v>
      </c>
      <c r="F52" s="235" t="e">
        <f t="shared" si="1"/>
        <v>#DIV/0!</v>
      </c>
    </row>
    <row r="53" spans="1:6">
      <c r="A53" s="51" t="s">
        <v>16</v>
      </c>
      <c r="B53" s="250" t="s">
        <v>178</v>
      </c>
      <c r="C53" s="523"/>
      <c r="D53" s="524"/>
      <c r="E53" s="238">
        <f t="shared" si="0"/>
        <v>0</v>
      </c>
      <c r="F53" s="235" t="e">
        <f t="shared" si="1"/>
        <v>#DIV/0!</v>
      </c>
    </row>
    <row r="54" spans="1:6" ht="15.75" thickBot="1">
      <c r="A54" s="61" t="s">
        <v>20</v>
      </c>
      <c r="B54" s="254" t="s">
        <v>160</v>
      </c>
      <c r="C54" s="529">
        <v>67214.41</v>
      </c>
      <c r="D54" s="530">
        <v>125422.36</v>
      </c>
      <c r="E54" s="239">
        <f t="shared" si="0"/>
        <v>58207.95</v>
      </c>
      <c r="F54" s="236">
        <f t="shared" si="1"/>
        <v>0.86600403098085654</v>
      </c>
    </row>
    <row r="55" spans="1:6" ht="28.5" customHeight="1" thickBot="1">
      <c r="A55" s="45" t="s">
        <v>8</v>
      </c>
      <c r="B55" s="243" t="s">
        <v>164</v>
      </c>
      <c r="C55" s="257">
        <f>C35+C36-C48</f>
        <v>13057858.330000015</v>
      </c>
      <c r="D55" s="46">
        <f>D35+D36-D48</f>
        <v>6814035.1300000008</v>
      </c>
      <c r="E55" s="114">
        <f t="shared" si="0"/>
        <v>-6243823.2000000142</v>
      </c>
      <c r="F55" s="115">
        <f t="shared" si="1"/>
        <v>-0.47816594744752505</v>
      </c>
    </row>
    <row r="56" spans="1:6">
      <c r="A56" s="63" t="s">
        <v>165</v>
      </c>
      <c r="B56" s="255" t="s">
        <v>166</v>
      </c>
      <c r="C56" s="519">
        <v>190846</v>
      </c>
      <c r="D56" s="520">
        <v>307863</v>
      </c>
      <c r="E56" s="240">
        <f t="shared" si="0"/>
        <v>117017</v>
      </c>
      <c r="F56" s="237">
        <f t="shared" si="1"/>
        <v>0.6131488215629356</v>
      </c>
    </row>
    <row r="57" spans="1:6" ht="30.75" thickBot="1">
      <c r="A57" s="64" t="s">
        <v>167</v>
      </c>
      <c r="B57" s="256" t="s">
        <v>168</v>
      </c>
      <c r="C57" s="529"/>
      <c r="D57" s="530"/>
      <c r="E57" s="239">
        <f t="shared" si="0"/>
        <v>0</v>
      </c>
      <c r="F57" s="236" t="e">
        <f t="shared" si="1"/>
        <v>#DIV/0!</v>
      </c>
    </row>
    <row r="58" spans="1:6" ht="28.5" customHeight="1" thickBot="1">
      <c r="A58" s="45" t="s">
        <v>169</v>
      </c>
      <c r="B58" s="243" t="s">
        <v>170</v>
      </c>
      <c r="C58" s="257">
        <f>C55-C56-C57</f>
        <v>12867012.330000015</v>
      </c>
      <c r="D58" s="46">
        <f>D55-D56-D57</f>
        <v>6506172.1300000008</v>
      </c>
      <c r="E58" s="114">
        <f t="shared" si="0"/>
        <v>-6360840.2000000142</v>
      </c>
      <c r="F58" s="115">
        <f t="shared" si="1"/>
        <v>-0.49435253785911359</v>
      </c>
    </row>
    <row r="61" spans="1:6" ht="15" customHeight="1">
      <c r="A61" s="686" t="s">
        <v>117</v>
      </c>
      <c r="B61" s="686"/>
      <c r="C61" s="686" t="s">
        <v>118</v>
      </c>
      <c r="D61" s="686"/>
      <c r="F61" s="74"/>
    </row>
    <row r="62" spans="1:6" ht="15" customHeight="1">
      <c r="A62" s="685" t="s">
        <v>207</v>
      </c>
      <c r="B62" s="685"/>
      <c r="C62" s="685" t="s">
        <v>119</v>
      </c>
      <c r="D62" s="685"/>
      <c r="F62" s="73"/>
    </row>
    <row r="63" spans="1:6">
      <c r="A63" s="685"/>
      <c r="B63" s="685"/>
    </row>
  </sheetData>
  <sheetProtection algorithmName="SHA-512" hashValue="trnJzpK1SQ2zo16344kjCqZds8rlHIUraQzEi951/1BmQs+BKDrYb6oLtZZt7Mlu1FZ8UXNzbfkUzZmS0uRHUw==" saltValue="wC+/6xemtrWuJT810PvGPw==" spinCount="100000" sheet="1" formatCells="0" formatColumns="0" formatRows="0"/>
  <mergeCells count="13">
    <mergeCell ref="A61:B61"/>
    <mergeCell ref="C61:D61"/>
    <mergeCell ref="A62:B63"/>
    <mergeCell ref="C62:D62"/>
    <mergeCell ref="A2:B2"/>
    <mergeCell ref="A3:B3"/>
    <mergeCell ref="C3:D3"/>
    <mergeCell ref="A4:F4"/>
    <mergeCell ref="A6:A7"/>
    <mergeCell ref="B6:B7"/>
    <mergeCell ref="C6:D6"/>
    <mergeCell ref="E6:E7"/>
    <mergeCell ref="F6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B37"/>
  <sheetViews>
    <sheetView zoomScaleNormal="100" workbookViewId="0">
      <pane xSplit="1" ySplit="4" topLeftCell="T20" activePane="bottomRight" state="frozen"/>
      <selection activeCell="J3" sqref="J3"/>
      <selection pane="topRight" activeCell="J3" sqref="J3"/>
      <selection pane="bottomLeft" activeCell="J3" sqref="J3"/>
      <selection pane="bottomRight" activeCell="W41" sqref="W41"/>
    </sheetView>
  </sheetViews>
  <sheetFormatPr defaultColWidth="9.140625" defaultRowHeight="15"/>
  <cols>
    <col min="1" max="1" width="32.85546875" style="385" customWidth="1"/>
    <col min="2" max="3" width="12.28515625" style="385" bestFit="1" customWidth="1"/>
    <col min="4" max="4" width="10.28515625" style="385" customWidth="1"/>
    <col min="5" max="5" width="8.5703125" style="385" bestFit="1" customWidth="1"/>
    <col min="6" max="7" width="12.28515625" style="385" bestFit="1" customWidth="1"/>
    <col min="8" max="8" width="8.5703125" style="385" bestFit="1" customWidth="1"/>
    <col min="9" max="9" width="12.28515625" style="385" bestFit="1" customWidth="1"/>
    <col min="10" max="10" width="11.42578125" style="385" bestFit="1" customWidth="1"/>
    <col min="11" max="11" width="8.5703125" style="385" bestFit="1" customWidth="1"/>
    <col min="12" max="12" width="12.42578125" style="42" customWidth="1"/>
    <col min="13" max="13" width="15.28515625" style="385" customWidth="1"/>
    <col min="14" max="15" width="9.28515625" style="385" bestFit="1" customWidth="1"/>
    <col min="16" max="16" width="9" style="385" bestFit="1" customWidth="1"/>
    <col min="17" max="17" width="8.5703125" style="385" bestFit="1" customWidth="1"/>
    <col min="18" max="18" width="9.28515625" style="385" bestFit="1" customWidth="1"/>
    <col min="19" max="19" width="9" style="385" bestFit="1" customWidth="1"/>
    <col min="20" max="20" width="8.5703125" style="385" bestFit="1" customWidth="1"/>
    <col min="21" max="21" width="9.28515625" style="385" bestFit="1" customWidth="1"/>
    <col min="22" max="22" width="9" style="385" bestFit="1" customWidth="1"/>
    <col min="23" max="23" width="8.5703125" style="385" bestFit="1" customWidth="1"/>
    <col min="24" max="24" width="9" style="385" bestFit="1" customWidth="1"/>
    <col min="25" max="25" width="9.140625" style="42"/>
    <col min="26" max="26" width="9.140625" style="386"/>
    <col min="27" max="16384" width="9.140625" style="42"/>
  </cols>
  <sheetData>
    <row r="1" spans="1:26" ht="15" customHeight="1">
      <c r="A1" s="776"/>
      <c r="B1" s="776"/>
      <c r="C1" s="776"/>
      <c r="D1" s="776"/>
      <c r="E1" s="384"/>
      <c r="F1" s="384"/>
      <c r="G1" s="384"/>
      <c r="H1" s="384"/>
      <c r="I1" s="384"/>
      <c r="M1" s="776"/>
      <c r="N1" s="776"/>
      <c r="O1" s="776"/>
      <c r="P1" s="776"/>
      <c r="Q1" s="384"/>
      <c r="R1" s="384"/>
      <c r="S1" s="384"/>
      <c r="T1" s="384"/>
      <c r="U1" s="384"/>
    </row>
    <row r="2" spans="1:26">
      <c r="C2" s="387"/>
      <c r="I2" s="387"/>
      <c r="O2" s="387"/>
      <c r="U2" s="387"/>
    </row>
    <row r="3" spans="1:26" ht="34.5" customHeight="1">
      <c r="A3" s="388" t="s">
        <v>122</v>
      </c>
      <c r="B3" s="388" t="str">
        <f ca="1">'RZiS 2022'!$D$7</f>
        <v>2022</v>
      </c>
      <c r="C3" s="388" t="str">
        <f ca="1">'RZiS 2023'!$D$7</f>
        <v>2023</v>
      </c>
      <c r="D3" s="389" t="str">
        <f ca="1">CONCATENATE("Różnica"," ",C3,"-",B3)</f>
        <v>Różnica 2023-2022</v>
      </c>
      <c r="E3" s="389" t="str">
        <f ca="1">CONCATENATE("Dynamika"," ",C3,"/",B3)</f>
        <v>Dynamika 2023/2022</v>
      </c>
      <c r="F3" s="388" t="str">
        <f ca="1">'RZiS 2024'!$D$7</f>
        <v>2024</v>
      </c>
      <c r="G3" s="389" t="str">
        <f ca="1">CONCATENATE("Różnica"," ",F3,"-",C3)</f>
        <v>Różnica 2024-2023</v>
      </c>
      <c r="H3" s="389" t="str">
        <f ca="1">CONCATENATE("Dynamika"," ",F3,"/",C3)</f>
        <v>Dynamika 2024/2023</v>
      </c>
      <c r="I3" s="388" t="str">
        <f ca="1">'RZiS 2025'!$D$7</f>
        <v>2025</v>
      </c>
      <c r="J3" s="389" t="str">
        <f ca="1">CONCATENATE("Różnica"," ",I3,"-",F3)</f>
        <v>Różnica 2025-2024</v>
      </c>
      <c r="K3" s="389" t="str">
        <f ca="1">CONCATENATE("Dynamika"," ",I3,"/",F3)</f>
        <v>Dynamika 2025/2024</v>
      </c>
      <c r="M3" s="388" t="str">
        <f>A3</f>
        <v>Wyszczególnienie</v>
      </c>
      <c r="N3" s="388" t="str">
        <f t="shared" ref="N3:W3" ca="1" si="0">B3</f>
        <v>2022</v>
      </c>
      <c r="O3" s="388" t="str">
        <f t="shared" ca="1" si="0"/>
        <v>2023</v>
      </c>
      <c r="P3" s="389" t="str">
        <f t="shared" ca="1" si="0"/>
        <v>Różnica 2023-2022</v>
      </c>
      <c r="Q3" s="389" t="str">
        <f t="shared" ca="1" si="0"/>
        <v>Dynamika 2023/2022</v>
      </c>
      <c r="R3" s="388" t="str">
        <f t="shared" ca="1" si="0"/>
        <v>2024</v>
      </c>
      <c r="S3" s="390" t="str">
        <f t="shared" ca="1" si="0"/>
        <v>Różnica 2024-2023</v>
      </c>
      <c r="T3" s="389" t="str">
        <f t="shared" ca="1" si="0"/>
        <v>Dynamika 2024/2023</v>
      </c>
      <c r="U3" s="388" t="str">
        <f t="shared" ca="1" si="0"/>
        <v>2025</v>
      </c>
      <c r="V3" s="390" t="str">
        <f t="shared" ca="1" si="0"/>
        <v>Różnica 2025-2024</v>
      </c>
      <c r="W3" s="389" t="str">
        <f t="shared" ca="1" si="0"/>
        <v>Dynamika 2025/2024</v>
      </c>
      <c r="X3" s="390" t="s">
        <v>324</v>
      </c>
      <c r="Y3" s="389" t="s">
        <v>323</v>
      </c>
    </row>
    <row r="4" spans="1:26" ht="33.75">
      <c r="A4" s="391" t="s">
        <v>272</v>
      </c>
      <c r="B4" s="392">
        <f>'RZiS 2022'!D8</f>
        <v>237021627.56999999</v>
      </c>
      <c r="C4" s="392">
        <f>'RZiS 2023'!D8</f>
        <v>261654000</v>
      </c>
      <c r="D4" s="393">
        <f>C4-B4</f>
        <v>24632372.430000007</v>
      </c>
      <c r="E4" s="394">
        <f t="shared" ref="E4:E7" si="1">IFERROR(D4/B4,"-")</f>
        <v>0.103924577189587</v>
      </c>
      <c r="F4" s="392">
        <f>'RZiS 2024'!D8</f>
        <v>277324000</v>
      </c>
      <c r="G4" s="393">
        <f>F4-C4</f>
        <v>15670000</v>
      </c>
      <c r="H4" s="394">
        <f>IFERROR(G4/C4,"-")</f>
        <v>5.9888249367485304E-2</v>
      </c>
      <c r="I4" s="392">
        <f>'RZiS 2025'!D8</f>
        <v>297580000</v>
      </c>
      <c r="J4" s="393">
        <f>I4-F4</f>
        <v>20256000</v>
      </c>
      <c r="K4" s="394">
        <f>IFERROR(J4/F4,"-")</f>
        <v>7.3040919646334246E-2</v>
      </c>
      <c r="M4" s="391" t="s">
        <v>272</v>
      </c>
      <c r="N4" s="392">
        <f>B4/1000</f>
        <v>237021.62756999998</v>
      </c>
      <c r="O4" s="392">
        <f>C4/1000</f>
        <v>261654</v>
      </c>
      <c r="P4" s="393">
        <f t="shared" ref="P4:P6" si="2">O4-N4</f>
        <v>24632.372430000018</v>
      </c>
      <c r="Q4" s="394">
        <f>P4/N4</f>
        <v>0.10392457718958706</v>
      </c>
      <c r="R4" s="392">
        <f t="shared" ref="R4:R6" si="3">F4/1000</f>
        <v>277324</v>
      </c>
      <c r="S4" s="393">
        <f t="shared" ref="S4:S6" si="4">R4-O4</f>
        <v>15670</v>
      </c>
      <c r="T4" s="394">
        <f t="shared" ref="T4:T7" si="5">IFERROR(S4/O4,"-")</f>
        <v>5.9888249367485304E-2</v>
      </c>
      <c r="U4" s="392">
        <f t="shared" ref="U4:U6" si="6">I4/1000</f>
        <v>297580</v>
      </c>
      <c r="V4" s="393">
        <f t="shared" ref="V4:V6" si="7">U4-R4</f>
        <v>20256</v>
      </c>
      <c r="W4" s="394">
        <f t="shared" ref="W4:W7" si="8">IFERROR(V4/R4,"-")</f>
        <v>7.3040919646334246E-2</v>
      </c>
      <c r="X4" s="393">
        <f>U4-N4</f>
        <v>60558.372430000018</v>
      </c>
      <c r="Y4" s="678">
        <f>X4/N4</f>
        <v>0.25549724322990403</v>
      </c>
      <c r="Z4" s="386">
        <f>X4/N4</f>
        <v>0.25549724322990403</v>
      </c>
    </row>
    <row r="5" spans="1:26" ht="33.75">
      <c r="A5" s="391" t="s">
        <v>145</v>
      </c>
      <c r="B5" s="392">
        <f>'RZiS 2022'!D26</f>
        <v>15638531.23</v>
      </c>
      <c r="C5" s="392">
        <f>'RZiS 2023'!D26</f>
        <v>5790000</v>
      </c>
      <c r="D5" s="393">
        <f>C5-B5</f>
        <v>-9848531.2300000004</v>
      </c>
      <c r="E5" s="394">
        <f>IFERROR(D5/B5,"-")</f>
        <v>-0.62976062682326461</v>
      </c>
      <c r="F5" s="392">
        <f>'RZiS 2024'!D26</f>
        <v>4800000</v>
      </c>
      <c r="G5" s="393">
        <f>F5-C5</f>
        <v>-990000</v>
      </c>
      <c r="H5" s="394">
        <f>IFERROR(G5/C5,"-")</f>
        <v>-0.17098445595854922</v>
      </c>
      <c r="I5" s="392">
        <f>'RZiS 2025'!D26</f>
        <v>5200000</v>
      </c>
      <c r="J5" s="393">
        <f>I5-F5</f>
        <v>400000</v>
      </c>
      <c r="K5" s="394">
        <f>IFERROR(J5/F5,"-")</f>
        <v>8.3333333333333329E-2</v>
      </c>
      <c r="M5" s="391" t="s">
        <v>145</v>
      </c>
      <c r="N5" s="392">
        <f>B5/1000</f>
        <v>15638.531230000001</v>
      </c>
      <c r="O5" s="392">
        <f>C5/1000</f>
        <v>5790</v>
      </c>
      <c r="P5" s="393">
        <f>O5-N5</f>
        <v>-9848.5312300000005</v>
      </c>
      <c r="Q5" s="394">
        <f>P5/N5</f>
        <v>-0.62976062682326461</v>
      </c>
      <c r="R5" s="392">
        <f>F5/1000</f>
        <v>4800</v>
      </c>
      <c r="S5" s="393">
        <f>R5-O5</f>
        <v>-990</v>
      </c>
      <c r="T5" s="394">
        <f>IFERROR(S5/O5,"-")</f>
        <v>-0.17098445595854922</v>
      </c>
      <c r="U5" s="392">
        <f>I5/1000</f>
        <v>5200</v>
      </c>
      <c r="V5" s="393">
        <f>U5-R5</f>
        <v>400</v>
      </c>
      <c r="W5" s="394">
        <f>IFERROR(V5/R5,"-")</f>
        <v>8.3333333333333329E-2</v>
      </c>
      <c r="X5" s="393">
        <f>U5-N5</f>
        <v>-10438.531230000001</v>
      </c>
      <c r="Y5" s="678">
        <f t="shared" ref="Y5:Y7" si="9">X5/N5</f>
        <v>-0.66748795500534996</v>
      </c>
      <c r="Z5" s="386">
        <f>X5/N5</f>
        <v>-0.66748795500534996</v>
      </c>
    </row>
    <row r="6" spans="1:26" ht="27.75" customHeight="1">
      <c r="A6" s="391" t="s">
        <v>155</v>
      </c>
      <c r="B6" s="392">
        <f>'RZiS 2022'!D36</f>
        <v>511765.7</v>
      </c>
      <c r="C6" s="392">
        <f>'RZiS 2023'!D36</f>
        <v>610000</v>
      </c>
      <c r="D6" s="393">
        <f t="shared" ref="D6" si="10">C6-B6</f>
        <v>98234.299999999988</v>
      </c>
      <c r="E6" s="394">
        <f t="shared" si="1"/>
        <v>0.19195170758806224</v>
      </c>
      <c r="F6" s="392">
        <f>'RZiS 2024'!D36</f>
        <v>510000</v>
      </c>
      <c r="G6" s="393">
        <f t="shared" ref="G6" si="11">F6-C6</f>
        <v>-100000</v>
      </c>
      <c r="H6" s="394">
        <f t="shared" ref="H6:H7" si="12">IFERROR(G6/C6,"-")</f>
        <v>-0.16393442622950818</v>
      </c>
      <c r="I6" s="392">
        <f>'RZiS 2025'!D36</f>
        <v>510000</v>
      </c>
      <c r="J6" s="393">
        <f t="shared" ref="J6" si="13">I6-F6</f>
        <v>0</v>
      </c>
      <c r="K6" s="394">
        <f t="shared" ref="K6:K7" si="14">IFERROR(J6/F6,"-")</f>
        <v>0</v>
      </c>
      <c r="M6" s="391" t="s">
        <v>155</v>
      </c>
      <c r="N6" s="392">
        <f t="shared" ref="N6:O6" si="15">B6/1000</f>
        <v>511.76570000000004</v>
      </c>
      <c r="O6" s="392">
        <f t="shared" si="15"/>
        <v>610</v>
      </c>
      <c r="P6" s="393">
        <f t="shared" si="2"/>
        <v>98.234299999999962</v>
      </c>
      <c r="Q6" s="394">
        <f t="shared" ref="Q6:Q7" si="16">P6/N6</f>
        <v>0.19195170758806218</v>
      </c>
      <c r="R6" s="392">
        <f t="shared" si="3"/>
        <v>510</v>
      </c>
      <c r="S6" s="393">
        <f t="shared" si="4"/>
        <v>-100</v>
      </c>
      <c r="T6" s="394">
        <f t="shared" si="5"/>
        <v>-0.16393442622950818</v>
      </c>
      <c r="U6" s="392">
        <f t="shared" si="6"/>
        <v>510</v>
      </c>
      <c r="V6" s="393">
        <f t="shared" si="7"/>
        <v>0</v>
      </c>
      <c r="W6" s="394">
        <f t="shared" si="8"/>
        <v>0</v>
      </c>
      <c r="X6" s="393">
        <f>U6-N6</f>
        <v>-1.765700000000038</v>
      </c>
      <c r="Y6" s="678">
        <f t="shared" si="9"/>
        <v>-3.4502116886693224E-3</v>
      </c>
      <c r="Z6" s="386">
        <f>X6/N6</f>
        <v>-3.4502116886693224E-3</v>
      </c>
    </row>
    <row r="7" spans="1:26" s="379" customFormat="1" ht="28.5" customHeight="1">
      <c r="A7" s="395" t="s">
        <v>273</v>
      </c>
      <c r="B7" s="396">
        <f>SUM(B4:B6)</f>
        <v>253171924.49999997</v>
      </c>
      <c r="C7" s="396">
        <f>SUM(C4:C6)</f>
        <v>268054000</v>
      </c>
      <c r="D7" s="396">
        <f>SUM(D4:D6)</f>
        <v>14882075.500000007</v>
      </c>
      <c r="E7" s="397">
        <f t="shared" si="1"/>
        <v>5.8782487550273405E-2</v>
      </c>
      <c r="F7" s="396">
        <f>SUM(F4:F6)</f>
        <v>282634000</v>
      </c>
      <c r="G7" s="396">
        <f>SUM(G4:G6)</f>
        <v>14580000</v>
      </c>
      <c r="H7" s="397">
        <f t="shared" si="12"/>
        <v>5.4392025487401789E-2</v>
      </c>
      <c r="I7" s="396">
        <f>SUM(I4:I6)</f>
        <v>303290000</v>
      </c>
      <c r="J7" s="396">
        <f>SUM(J4:J6)</f>
        <v>20656000</v>
      </c>
      <c r="K7" s="397">
        <f t="shared" si="14"/>
        <v>7.3083917716905963E-2</v>
      </c>
      <c r="M7" s="388" t="s">
        <v>273</v>
      </c>
      <c r="N7" s="396">
        <f>SUM(N4:N6)</f>
        <v>253171.92449999996</v>
      </c>
      <c r="O7" s="396">
        <f>SUM(O4:O6)</f>
        <v>268054</v>
      </c>
      <c r="P7" s="396">
        <f>SUM(P4:P6)</f>
        <v>14882.075500000017</v>
      </c>
      <c r="Q7" s="397">
        <f t="shared" si="16"/>
        <v>5.8782487550273446E-2</v>
      </c>
      <c r="R7" s="396">
        <f>SUM(R4:R6)</f>
        <v>282634</v>
      </c>
      <c r="S7" s="396">
        <f>SUM(S4:S6)</f>
        <v>14580</v>
      </c>
      <c r="T7" s="397">
        <f t="shared" si="5"/>
        <v>5.4392025487401789E-2</v>
      </c>
      <c r="U7" s="396">
        <f>SUM(U4:U6)</f>
        <v>303290</v>
      </c>
      <c r="V7" s="396">
        <f>SUM(V4:V6)</f>
        <v>20656</v>
      </c>
      <c r="W7" s="397">
        <f t="shared" si="8"/>
        <v>7.3083917716905963E-2</v>
      </c>
      <c r="X7" s="396">
        <f>U7-N7</f>
        <v>50118.075500000035</v>
      </c>
      <c r="Y7" s="678">
        <f t="shared" si="9"/>
        <v>0.19796063721907697</v>
      </c>
      <c r="Z7" s="386">
        <f>X7/N7</f>
        <v>0.19796063721907697</v>
      </c>
    </row>
    <row r="8" spans="1:26" ht="32.25" customHeight="1">
      <c r="A8" s="398"/>
      <c r="B8" s="399">
        <f>B7-'RZiS prognozy-ZEST'!C65</f>
        <v>0</v>
      </c>
      <c r="C8" s="399">
        <f>C7-'RZiS prognozy-ZEST'!D65</f>
        <v>0</v>
      </c>
      <c r="D8" s="400"/>
      <c r="E8" s="400"/>
      <c r="F8" s="399">
        <f>'RZiS prognozy-ZEST'!G65-'zestawienie '!F7</f>
        <v>0</v>
      </c>
      <c r="G8" s="401"/>
      <c r="H8" s="401"/>
      <c r="I8" s="399">
        <f>I7-'RZiS prognozy-ZEST'!J65</f>
        <v>0</v>
      </c>
      <c r="J8" s="401"/>
      <c r="K8" s="401"/>
      <c r="M8" s="398"/>
      <c r="N8" s="399"/>
      <c r="O8" s="399"/>
      <c r="P8" s="400"/>
      <c r="Q8" s="400"/>
      <c r="R8" s="399"/>
      <c r="S8" s="401"/>
      <c r="T8" s="401"/>
      <c r="U8" s="399"/>
      <c r="V8" s="401"/>
      <c r="W8" s="401"/>
      <c r="X8" s="401"/>
      <c r="Z8" s="402"/>
    </row>
    <row r="9" spans="1:26" ht="34.5" customHeight="1">
      <c r="A9" s="388" t="s">
        <v>122</v>
      </c>
      <c r="B9" s="388" t="str">
        <f ca="1">'RZiS 2022'!$D$7</f>
        <v>2022</v>
      </c>
      <c r="C9" s="388" t="str">
        <f ca="1">'RZiS 2023'!$D$7</f>
        <v>2023</v>
      </c>
      <c r="D9" s="389" t="str">
        <f ca="1">CONCATENATE("Różnica"," ",C9,"-",B9)</f>
        <v>Różnica 2023-2022</v>
      </c>
      <c r="E9" s="389" t="str">
        <f ca="1">CONCATENATE("Dynamika"," ",C9,"/",B9)</f>
        <v>Dynamika 2023/2022</v>
      </c>
      <c r="F9" s="388" t="str">
        <f ca="1">'RZiS 2024'!$D$7</f>
        <v>2024</v>
      </c>
      <c r="G9" s="389" t="str">
        <f ca="1">CONCATENATE("Różnica"," ",F9,"-",C9)</f>
        <v>Różnica 2024-2023</v>
      </c>
      <c r="H9" s="389" t="str">
        <f ca="1">CONCATENATE("Dynamika"," ",F9,"/",C9)</f>
        <v>Dynamika 2024/2023</v>
      </c>
      <c r="I9" s="388" t="str">
        <f ca="1">'RZiS 2025'!$D$7</f>
        <v>2025</v>
      </c>
      <c r="J9" s="389" t="str">
        <f ca="1">CONCATENATE("Różnica"," ",I9,"-",F9)</f>
        <v>Różnica 2025-2024</v>
      </c>
      <c r="K9" s="389" t="str">
        <f ca="1">CONCATENATE("Dynamika"," ",I9,"/",F9)</f>
        <v>Dynamika 2025/2024</v>
      </c>
      <c r="M9" s="388" t="str">
        <f>A9</f>
        <v>Wyszczególnienie</v>
      </c>
      <c r="N9" s="388" t="str">
        <f t="shared" ref="N9" ca="1" si="17">B9</f>
        <v>2022</v>
      </c>
      <c r="O9" s="388" t="str">
        <f t="shared" ref="O9" ca="1" si="18">C9</f>
        <v>2023</v>
      </c>
      <c r="P9" s="389" t="str">
        <f t="shared" ref="P9" ca="1" si="19">D9</f>
        <v>Różnica 2023-2022</v>
      </c>
      <c r="Q9" s="389" t="str">
        <f t="shared" ref="Q9" ca="1" si="20">E9</f>
        <v>Dynamika 2023/2022</v>
      </c>
      <c r="R9" s="388" t="str">
        <f t="shared" ref="R9" ca="1" si="21">F9</f>
        <v>2024</v>
      </c>
      <c r="S9" s="390" t="str">
        <f t="shared" ref="S9" ca="1" si="22">G9</f>
        <v>Różnica 2024-2023</v>
      </c>
      <c r="T9" s="389" t="str">
        <f t="shared" ref="T9" ca="1" si="23">H9</f>
        <v>Dynamika 2024/2023</v>
      </c>
      <c r="U9" s="388" t="str">
        <f t="shared" ref="U9" ca="1" si="24">I9</f>
        <v>2025</v>
      </c>
      <c r="V9" s="390" t="str">
        <f t="shared" ref="V9" ca="1" si="25">J9</f>
        <v>Różnica 2025-2024</v>
      </c>
      <c r="W9" s="389" t="str">
        <f t="shared" ref="W9" ca="1" si="26">K9</f>
        <v>Dynamika 2025/2024</v>
      </c>
      <c r="X9" s="390" t="s">
        <v>324</v>
      </c>
      <c r="Y9" s="389" t="s">
        <v>323</v>
      </c>
    </row>
    <row r="10" spans="1:26" ht="23.25" customHeight="1">
      <c r="A10" s="391" t="s">
        <v>130</v>
      </c>
      <c r="B10" s="392">
        <f>'RZiS 2022'!D14</f>
        <v>242558505.78999999</v>
      </c>
      <c r="C10" s="392">
        <f>'RZiS 2023'!D14</f>
        <v>260250000</v>
      </c>
      <c r="D10" s="393">
        <f>C10-B10</f>
        <v>17691494.210000008</v>
      </c>
      <c r="E10" s="394">
        <f t="shared" ref="E10:E14" si="27">IFERROR(D10/B10,"-")</f>
        <v>7.2937018441714768E-2</v>
      </c>
      <c r="F10" s="392">
        <f>'RZiS 2024'!D14</f>
        <v>274400000</v>
      </c>
      <c r="G10" s="403">
        <f t="shared" ref="G10:G13" si="28">F10-C10</f>
        <v>14150000</v>
      </c>
      <c r="H10" s="394">
        <f t="shared" ref="H10:H14" si="29">IFERROR(G10/C10,"-")</f>
        <v>5.4370797310278579E-2</v>
      </c>
      <c r="I10" s="392">
        <f>'RZiS 2025'!D14</f>
        <v>294400000</v>
      </c>
      <c r="J10" s="404">
        <f t="shared" ref="J10:J13" si="30">I10-F10</f>
        <v>20000000</v>
      </c>
      <c r="K10" s="394">
        <f t="shared" ref="K10:K14" si="31">IFERROR(J10/F10,"-")</f>
        <v>7.2886297376093298E-2</v>
      </c>
      <c r="M10" s="391" t="s">
        <v>130</v>
      </c>
      <c r="N10" s="392">
        <f t="shared" ref="N10:O13" si="32">B10/1000</f>
        <v>242558.50579</v>
      </c>
      <c r="O10" s="392">
        <f t="shared" si="32"/>
        <v>260250</v>
      </c>
      <c r="P10" s="405">
        <f t="shared" ref="P10:P13" si="33">O10-N10</f>
        <v>17691.494210000004</v>
      </c>
      <c r="Q10" s="394">
        <f>P10/N10</f>
        <v>7.2937018441714754E-2</v>
      </c>
      <c r="R10" s="392">
        <f t="shared" ref="R10:R13" si="34">F10/1000</f>
        <v>274400</v>
      </c>
      <c r="S10" s="403">
        <f t="shared" ref="S10:S13" si="35">R10-O10</f>
        <v>14150</v>
      </c>
      <c r="T10" s="394">
        <f t="shared" ref="T10:T14" si="36">IFERROR(S10/O10,"-")</f>
        <v>5.4370797310278579E-2</v>
      </c>
      <c r="U10" s="392">
        <f t="shared" ref="U10:U13" si="37">I10/1000</f>
        <v>294400</v>
      </c>
      <c r="V10" s="404">
        <f t="shared" ref="V10:V13" si="38">U10-R10</f>
        <v>20000</v>
      </c>
      <c r="W10" s="394">
        <f t="shared" ref="W10:W14" si="39">IFERROR(V10/R10,"-")</f>
        <v>7.2886297376093298E-2</v>
      </c>
      <c r="X10" s="404">
        <f>U10-N10</f>
        <v>51841.494210000004</v>
      </c>
      <c r="Y10" s="679">
        <f>X10/N10</f>
        <v>0.21372779338805312</v>
      </c>
      <c r="Z10" s="386">
        <f>X10/N10</f>
        <v>0.21372779338805312</v>
      </c>
    </row>
    <row r="11" spans="1:26" ht="23.25" customHeight="1">
      <c r="A11" s="391" t="s">
        <v>150</v>
      </c>
      <c r="B11" s="392">
        <f>'RZiS 2022'!D31</f>
        <v>3625711.7100000004</v>
      </c>
      <c r="C11" s="392">
        <f>'RZiS 2023'!D31</f>
        <v>2020000</v>
      </c>
      <c r="D11" s="393">
        <f>C11-B11</f>
        <v>-1605711.7100000004</v>
      </c>
      <c r="E11" s="394">
        <f t="shared" si="27"/>
        <v>-0.44286800452758562</v>
      </c>
      <c r="F11" s="392">
        <f>'RZiS 2024'!D31</f>
        <v>2100000</v>
      </c>
      <c r="G11" s="403">
        <f t="shared" si="28"/>
        <v>80000</v>
      </c>
      <c r="H11" s="394">
        <f t="shared" si="29"/>
        <v>3.9603960396039604E-2</v>
      </c>
      <c r="I11" s="392">
        <f>'RZiS 2025'!D31</f>
        <v>2500000</v>
      </c>
      <c r="J11" s="403">
        <f t="shared" si="30"/>
        <v>400000</v>
      </c>
      <c r="K11" s="394">
        <f t="shared" si="31"/>
        <v>0.19047619047619047</v>
      </c>
      <c r="M11" s="391" t="s">
        <v>150</v>
      </c>
      <c r="N11" s="392">
        <f t="shared" si="32"/>
        <v>3625.7117100000005</v>
      </c>
      <c r="O11" s="392">
        <f t="shared" si="32"/>
        <v>2020</v>
      </c>
      <c r="P11" s="405">
        <f t="shared" si="33"/>
        <v>-1605.7117100000005</v>
      </c>
      <c r="Q11" s="394">
        <f t="shared" ref="Q11:Q14" si="40">P11/N11</f>
        <v>-0.44286800452758562</v>
      </c>
      <c r="R11" s="392">
        <f t="shared" si="34"/>
        <v>2100</v>
      </c>
      <c r="S11" s="403">
        <f t="shared" si="35"/>
        <v>80</v>
      </c>
      <c r="T11" s="394">
        <f t="shared" si="36"/>
        <v>3.9603960396039604E-2</v>
      </c>
      <c r="U11" s="392">
        <f t="shared" si="37"/>
        <v>2500</v>
      </c>
      <c r="V11" s="403">
        <f t="shared" si="38"/>
        <v>400</v>
      </c>
      <c r="W11" s="394">
        <f t="shared" si="39"/>
        <v>0.19047619047619047</v>
      </c>
      <c r="X11" s="403">
        <f>U11-N11</f>
        <v>-1125.7117100000005</v>
      </c>
      <c r="Y11" s="680">
        <f t="shared" ref="Y11:Y14" si="41">X11/N11</f>
        <v>-0.31048020362324957</v>
      </c>
      <c r="Z11" s="386">
        <f>X11/N11</f>
        <v>-0.31048020362324957</v>
      </c>
    </row>
    <row r="12" spans="1:26" ht="23.25" customHeight="1">
      <c r="A12" s="391" t="s">
        <v>162</v>
      </c>
      <c r="B12" s="392">
        <f>'RZiS 2022'!D48</f>
        <v>173671.87</v>
      </c>
      <c r="C12" s="392">
        <f>'RZiS 2023'!D48</f>
        <v>120000</v>
      </c>
      <c r="D12" s="393">
        <f t="shared" ref="D12:D13" si="42">C12-B12</f>
        <v>-53671.869999999995</v>
      </c>
      <c r="E12" s="394">
        <f t="shared" si="27"/>
        <v>-0.30904181546499154</v>
      </c>
      <c r="F12" s="392">
        <f>'RZiS 2024'!D48</f>
        <v>70000</v>
      </c>
      <c r="G12" s="403">
        <f t="shared" si="28"/>
        <v>-50000</v>
      </c>
      <c r="H12" s="394">
        <f t="shared" si="29"/>
        <v>-0.41666666666666669</v>
      </c>
      <c r="I12" s="392">
        <f>'RZiS 2025'!D48</f>
        <v>75000</v>
      </c>
      <c r="J12" s="403">
        <f t="shared" si="30"/>
        <v>5000</v>
      </c>
      <c r="K12" s="394">
        <f t="shared" si="31"/>
        <v>7.1428571428571425E-2</v>
      </c>
      <c r="M12" s="391" t="s">
        <v>162</v>
      </c>
      <c r="N12" s="392">
        <f t="shared" si="32"/>
        <v>173.67186999999998</v>
      </c>
      <c r="O12" s="392">
        <f t="shared" si="32"/>
        <v>120</v>
      </c>
      <c r="P12" s="405">
        <f t="shared" si="33"/>
        <v>-53.671869999999984</v>
      </c>
      <c r="Q12" s="394">
        <f t="shared" si="40"/>
        <v>-0.30904181546499149</v>
      </c>
      <c r="R12" s="392">
        <f t="shared" si="34"/>
        <v>70</v>
      </c>
      <c r="S12" s="403">
        <f t="shared" si="35"/>
        <v>-50</v>
      </c>
      <c r="T12" s="394">
        <f t="shared" si="36"/>
        <v>-0.41666666666666669</v>
      </c>
      <c r="U12" s="392">
        <f t="shared" si="37"/>
        <v>75</v>
      </c>
      <c r="V12" s="403">
        <f t="shared" si="38"/>
        <v>5</v>
      </c>
      <c r="W12" s="394">
        <f t="shared" si="39"/>
        <v>7.1428571428571425E-2</v>
      </c>
      <c r="X12" s="403">
        <f>U12-N12</f>
        <v>-98.671869999999984</v>
      </c>
      <c r="Y12" s="680">
        <f t="shared" si="41"/>
        <v>-0.56815113466561962</v>
      </c>
    </row>
    <row r="13" spans="1:26" ht="23.25" customHeight="1">
      <c r="A13" s="391" t="s">
        <v>166</v>
      </c>
      <c r="B13" s="392">
        <f>'RZiS 2022'!D56</f>
        <v>307863</v>
      </c>
      <c r="C13" s="392">
        <f>'RZiS 2023'!D56</f>
        <v>0</v>
      </c>
      <c r="D13" s="393">
        <f t="shared" si="42"/>
        <v>-307863</v>
      </c>
      <c r="E13" s="394">
        <f t="shared" si="27"/>
        <v>-1</v>
      </c>
      <c r="F13" s="392">
        <f>'RZiS 2024'!D56</f>
        <v>0</v>
      </c>
      <c r="G13" s="403">
        <f t="shared" si="28"/>
        <v>0</v>
      </c>
      <c r="H13" s="394" t="str">
        <f t="shared" si="29"/>
        <v>-</v>
      </c>
      <c r="I13" s="392">
        <f>'RZiS 2025'!D56</f>
        <v>0</v>
      </c>
      <c r="J13" s="403">
        <f t="shared" si="30"/>
        <v>0</v>
      </c>
      <c r="K13" s="394" t="str">
        <f t="shared" si="31"/>
        <v>-</v>
      </c>
      <c r="M13" s="391" t="s">
        <v>166</v>
      </c>
      <c r="N13" s="392">
        <f t="shared" si="32"/>
        <v>307.863</v>
      </c>
      <c r="O13" s="392">
        <f t="shared" si="32"/>
        <v>0</v>
      </c>
      <c r="P13" s="405">
        <f t="shared" si="33"/>
        <v>-307.863</v>
      </c>
      <c r="Q13" s="394">
        <f t="shared" si="40"/>
        <v>-1</v>
      </c>
      <c r="R13" s="392">
        <f t="shared" si="34"/>
        <v>0</v>
      </c>
      <c r="S13" s="403">
        <f t="shared" si="35"/>
        <v>0</v>
      </c>
      <c r="T13" s="394" t="str">
        <f t="shared" si="36"/>
        <v>-</v>
      </c>
      <c r="U13" s="392">
        <f t="shared" si="37"/>
        <v>0</v>
      </c>
      <c r="V13" s="403">
        <f t="shared" si="38"/>
        <v>0</v>
      </c>
      <c r="W13" s="394" t="str">
        <f t="shared" si="39"/>
        <v>-</v>
      </c>
      <c r="X13" s="403">
        <f>U13-N13</f>
        <v>-307.863</v>
      </c>
      <c r="Y13" s="680">
        <f t="shared" si="41"/>
        <v>-1</v>
      </c>
    </row>
    <row r="14" spans="1:26" ht="28.5" customHeight="1">
      <c r="A14" s="395" t="s">
        <v>273</v>
      </c>
      <c r="B14" s="396">
        <f>SUM(B10:B13)</f>
        <v>246665752.37</v>
      </c>
      <c r="C14" s="396">
        <f t="shared" ref="C14:J14" si="43">SUM(C10:C13)</f>
        <v>262390000</v>
      </c>
      <c r="D14" s="396">
        <f t="shared" si="43"/>
        <v>15724247.630000008</v>
      </c>
      <c r="E14" s="397">
        <f t="shared" si="27"/>
        <v>6.3747186137188383E-2</v>
      </c>
      <c r="F14" s="396">
        <f>SUM(F10:F13)</f>
        <v>276570000</v>
      </c>
      <c r="G14" s="396">
        <f t="shared" si="43"/>
        <v>14180000</v>
      </c>
      <c r="H14" s="397">
        <f t="shared" si="29"/>
        <v>5.4041693662106025E-2</v>
      </c>
      <c r="I14" s="396">
        <f t="shared" si="43"/>
        <v>296975000</v>
      </c>
      <c r="J14" s="396">
        <f t="shared" si="43"/>
        <v>20405000</v>
      </c>
      <c r="K14" s="397">
        <f t="shared" si="31"/>
        <v>7.3778790179701348E-2</v>
      </c>
      <c r="M14" s="388" t="s">
        <v>273</v>
      </c>
      <c r="N14" s="396">
        <f>SUM(N10:N13)</f>
        <v>246665.75237</v>
      </c>
      <c r="O14" s="396">
        <f t="shared" ref="O14:P14" si="44">SUM(O10:O13)</f>
        <v>262390</v>
      </c>
      <c r="P14" s="396">
        <f t="shared" si="44"/>
        <v>15724.247630000005</v>
      </c>
      <c r="Q14" s="397">
        <f t="shared" si="40"/>
        <v>6.3747186137188383E-2</v>
      </c>
      <c r="R14" s="396">
        <f t="shared" ref="R14:S14" si="45">SUM(R10:R13)</f>
        <v>276570</v>
      </c>
      <c r="S14" s="396">
        <f t="shared" si="45"/>
        <v>14180</v>
      </c>
      <c r="T14" s="397">
        <f t="shared" si="36"/>
        <v>5.4041693662106025E-2</v>
      </c>
      <c r="U14" s="396">
        <f t="shared" ref="U14:V14" si="46">SUM(U10:U13)</f>
        <v>296975</v>
      </c>
      <c r="V14" s="396">
        <f t="shared" si="46"/>
        <v>20405</v>
      </c>
      <c r="W14" s="397">
        <f t="shared" si="39"/>
        <v>7.3778790179701348E-2</v>
      </c>
      <c r="X14" s="396">
        <f>U14-N14</f>
        <v>50309.247629999998</v>
      </c>
      <c r="Y14" s="681">
        <f t="shared" si="41"/>
        <v>0.20395716530009342</v>
      </c>
      <c r="Z14" s="386">
        <f>X14/N14</f>
        <v>0.20395716530009342</v>
      </c>
    </row>
    <row r="15" spans="1:26" ht="30" customHeight="1">
      <c r="A15" s="398"/>
      <c r="B15" s="399">
        <f>B14-'RZiS prognozy-ZEST'!C66</f>
        <v>0</v>
      </c>
      <c r="C15" s="399">
        <f>C14-'RZiS prognozy-ZEST'!D66</f>
        <v>0</v>
      </c>
      <c r="D15" s="400"/>
      <c r="E15" s="400"/>
      <c r="F15" s="399">
        <f>F14-'RZiS prognozy-ZEST'!G66</f>
        <v>0</v>
      </c>
      <c r="G15" s="401"/>
      <c r="H15" s="401"/>
      <c r="I15" s="399">
        <f>I14-'RZiS prognozy-ZEST'!J66</f>
        <v>0</v>
      </c>
      <c r="J15" s="401"/>
      <c r="K15" s="401"/>
      <c r="M15" s="398"/>
      <c r="N15" s="399"/>
      <c r="O15" s="399"/>
      <c r="P15" s="400"/>
      <c r="Q15" s="400"/>
      <c r="R15" s="399"/>
      <c r="S15" s="401"/>
      <c r="T15" s="401"/>
      <c r="U15" s="399"/>
      <c r="V15" s="401"/>
      <c r="W15" s="401"/>
      <c r="X15" s="401"/>
      <c r="Z15" s="402"/>
    </row>
    <row r="16" spans="1:26" ht="34.5" customHeight="1">
      <c r="A16" s="388" t="s">
        <v>122</v>
      </c>
      <c r="B16" s="388" t="str">
        <f ca="1">'RZiS 2022'!$D$7</f>
        <v>2022</v>
      </c>
      <c r="C16" s="388" t="str">
        <f ca="1">'RZiS 2023'!$D$7</f>
        <v>2023</v>
      </c>
      <c r="D16" s="389" t="str">
        <f ca="1">CONCATENATE("Różnica"," ",C16,"-",B16)</f>
        <v>Różnica 2023-2022</v>
      </c>
      <c r="E16" s="389" t="str">
        <f ca="1">CONCATENATE("Dynamika"," ",C16,"/",B16)</f>
        <v>Dynamika 2023/2022</v>
      </c>
      <c r="F16" s="388" t="str">
        <f ca="1">'RZiS 2024'!$D$7</f>
        <v>2024</v>
      </c>
      <c r="G16" s="389" t="str">
        <f ca="1">CONCATENATE("Różnica"," ",F16,"-",C16)</f>
        <v>Różnica 2024-2023</v>
      </c>
      <c r="H16" s="389" t="str">
        <f ca="1">CONCATENATE("Dynamika"," ",F16,"/",C16)</f>
        <v>Dynamika 2024/2023</v>
      </c>
      <c r="I16" s="388" t="str">
        <f ca="1">'RZiS 2025'!$D$7</f>
        <v>2025</v>
      </c>
      <c r="J16" s="389" t="str">
        <f ca="1">CONCATENATE("Różnica"," ",I16,"-",F16)</f>
        <v>Różnica 2025-2024</v>
      </c>
      <c r="K16" s="389" t="str">
        <f ca="1">CONCATENATE("Dynamika"," ",I16,"/",F16)</f>
        <v>Dynamika 2025/2024</v>
      </c>
      <c r="M16" s="388" t="str">
        <f>A16</f>
        <v>Wyszczególnienie</v>
      </c>
      <c r="N16" s="388" t="str">
        <f t="shared" ref="N16" ca="1" si="47">B16</f>
        <v>2022</v>
      </c>
      <c r="O16" s="388" t="str">
        <f t="shared" ref="O16" ca="1" si="48">C16</f>
        <v>2023</v>
      </c>
      <c r="P16" s="389" t="str">
        <f t="shared" ref="P16" ca="1" si="49">D16</f>
        <v>Różnica 2023-2022</v>
      </c>
      <c r="Q16" s="389" t="str">
        <f t="shared" ref="Q16" ca="1" si="50">E16</f>
        <v>Dynamika 2023/2022</v>
      </c>
      <c r="R16" s="388" t="str">
        <f t="shared" ref="R16" ca="1" si="51">F16</f>
        <v>2024</v>
      </c>
      <c r="S16" s="390" t="str">
        <f t="shared" ref="S16" ca="1" si="52">G16</f>
        <v>Różnica 2024-2023</v>
      </c>
      <c r="T16" s="389" t="str">
        <f t="shared" ref="T16" ca="1" si="53">H16</f>
        <v>Dynamika 2024/2023</v>
      </c>
      <c r="U16" s="388" t="str">
        <f t="shared" ref="U16" ca="1" si="54">I16</f>
        <v>2025</v>
      </c>
      <c r="V16" s="390" t="str">
        <f t="shared" ref="V16" ca="1" si="55">J16</f>
        <v>Różnica 2025-2024</v>
      </c>
      <c r="W16" s="389" t="str">
        <f t="shared" ref="W16" ca="1" si="56">K16</f>
        <v>Dynamika 2025/2024</v>
      </c>
      <c r="X16" s="390" t="s">
        <v>324</v>
      </c>
      <c r="Y16" s="389" t="s">
        <v>323</v>
      </c>
    </row>
    <row r="17" spans="1:28" s="408" customFormat="1" ht="30" customHeight="1">
      <c r="A17" s="406" t="s">
        <v>274</v>
      </c>
      <c r="B17" s="404">
        <f>SUM(B18:B27)-B22-B25</f>
        <v>242558505.78999999</v>
      </c>
      <c r="C17" s="404">
        <f>SUM(C18:C27)-C22-C25</f>
        <v>260250000</v>
      </c>
      <c r="D17" s="403">
        <f>C17-B17</f>
        <v>17691494.210000008</v>
      </c>
      <c r="E17" s="394">
        <f>IFERROR(D17/B17,"-")</f>
        <v>7.2937018441714768E-2</v>
      </c>
      <c r="F17" s="404">
        <f>SUM(F18:F27)-F22-F25</f>
        <v>274400000</v>
      </c>
      <c r="G17" s="403">
        <f>F17-C17</f>
        <v>14150000</v>
      </c>
      <c r="H17" s="407">
        <f>IFERROR(G17/C17,"-")</f>
        <v>5.4370797310278579E-2</v>
      </c>
      <c r="I17" s="404">
        <f>SUM(I18:I27)-I22-I25</f>
        <v>294400000</v>
      </c>
      <c r="J17" s="404">
        <f t="shared" ref="J17:J27" si="57">I17-F17</f>
        <v>20000000</v>
      </c>
      <c r="K17" s="407">
        <f>IFERROR(J17/F17,"-")</f>
        <v>7.2886297376093298E-2</v>
      </c>
      <c r="M17" s="406" t="s">
        <v>274</v>
      </c>
      <c r="N17" s="404">
        <f>SUM(N18:N27)-N22-N25</f>
        <v>242558.50579</v>
      </c>
      <c r="O17" s="404">
        <f>SUM(O18:O27)-O22-O25</f>
        <v>260250</v>
      </c>
      <c r="P17" s="403">
        <f t="shared" ref="P17:P27" si="58">O17-N17</f>
        <v>17691.494210000004</v>
      </c>
      <c r="Q17" s="407">
        <f>P17/N17</f>
        <v>7.2937018441714754E-2</v>
      </c>
      <c r="R17" s="404">
        <f>SUM(R18:R27)-R22-R25</f>
        <v>274400</v>
      </c>
      <c r="S17" s="403">
        <f t="shared" ref="S17:S27" si="59">R17-O17</f>
        <v>14150</v>
      </c>
      <c r="T17" s="407">
        <f>IFERROR(S17/O17,"-")</f>
        <v>5.4370797310278579E-2</v>
      </c>
      <c r="U17" s="404">
        <f>SUM(U18:U27)-U22-U25</f>
        <v>294400</v>
      </c>
      <c r="V17" s="404">
        <f t="shared" ref="V17:V27" si="60">U17-R17</f>
        <v>20000</v>
      </c>
      <c r="W17" s="407">
        <f>IFERROR(V17/R17,"-")</f>
        <v>7.2886297376093298E-2</v>
      </c>
      <c r="X17" s="404">
        <f t="shared" ref="X17:X27" si="61">U17-N17</f>
        <v>51841.494210000004</v>
      </c>
      <c r="Y17" s="682">
        <f>X17/N17</f>
        <v>0.21372779338805312</v>
      </c>
      <c r="Z17" s="386">
        <f>X17/N17</f>
        <v>0.21372779338805312</v>
      </c>
    </row>
    <row r="18" spans="1:28" ht="21.75" customHeight="1">
      <c r="A18" s="391" t="s">
        <v>131</v>
      </c>
      <c r="B18" s="392">
        <f>'RZiS 2022'!D15</f>
        <v>4883989.4000000004</v>
      </c>
      <c r="C18" s="392">
        <f>'RZiS 2023'!D15</f>
        <v>5000000</v>
      </c>
      <c r="D18" s="393">
        <f t="shared" ref="D18:D27" si="62">C18-B18</f>
        <v>116010.59999999963</v>
      </c>
      <c r="E18" s="394">
        <f>IFERROR(D18/B18,"-")</f>
        <v>2.3753245656102286E-2</v>
      </c>
      <c r="F18" s="392">
        <f>'RZiS 2024'!D15</f>
        <v>5500000</v>
      </c>
      <c r="G18" s="403">
        <f t="shared" ref="G18:G27" si="63">F18-C18</f>
        <v>500000</v>
      </c>
      <c r="H18" s="394">
        <f>IFERROR(G18/C18,"-")</f>
        <v>0.1</v>
      </c>
      <c r="I18" s="392">
        <f>'RZiS 2025'!D15</f>
        <v>6000000</v>
      </c>
      <c r="J18" s="404">
        <f t="shared" si="57"/>
        <v>500000</v>
      </c>
      <c r="K18" s="394">
        <f>IFERROR(J18/F18,"-")</f>
        <v>9.0909090909090912E-2</v>
      </c>
      <c r="M18" s="391" t="s">
        <v>131</v>
      </c>
      <c r="N18" s="392">
        <f t="shared" ref="N18:O27" si="64">B18/1000</f>
        <v>4883.9894000000004</v>
      </c>
      <c r="O18" s="392">
        <f t="shared" si="64"/>
        <v>5000</v>
      </c>
      <c r="P18" s="405">
        <f t="shared" si="58"/>
        <v>116.01059999999961</v>
      </c>
      <c r="Q18" s="394">
        <f>IFERROR(P18/N18,"-")</f>
        <v>2.3753245656102286E-2</v>
      </c>
      <c r="R18" s="392">
        <f t="shared" ref="R18:R27" si="65">F18/1000</f>
        <v>5500</v>
      </c>
      <c r="S18" s="403">
        <f t="shared" si="59"/>
        <v>500</v>
      </c>
      <c r="T18" s="394">
        <f>IFERROR(S18/O18,"-")</f>
        <v>0.1</v>
      </c>
      <c r="U18" s="392">
        <f t="shared" ref="U18:U27" si="66">I18/1000</f>
        <v>6000</v>
      </c>
      <c r="V18" s="404">
        <f t="shared" si="60"/>
        <v>500</v>
      </c>
      <c r="W18" s="394">
        <f>IFERROR(V18/R18,"-")</f>
        <v>9.0909090909090912E-2</v>
      </c>
      <c r="X18" s="404">
        <f t="shared" si="61"/>
        <v>1116.0105999999996</v>
      </c>
      <c r="Y18" s="682">
        <f t="shared" ref="Y18:Y27" si="67">X18/N18</f>
        <v>0.22850389478732275</v>
      </c>
    </row>
    <row r="19" spans="1:28" ht="21.75" customHeight="1">
      <c r="A19" s="391" t="s">
        <v>132</v>
      </c>
      <c r="B19" s="392">
        <f>'RZiS 2022'!D16</f>
        <v>9728206.0299999993</v>
      </c>
      <c r="C19" s="392">
        <f>'RZiS 2023'!D16</f>
        <v>11000000</v>
      </c>
      <c r="D19" s="393">
        <f t="shared" si="62"/>
        <v>1271793.9700000007</v>
      </c>
      <c r="E19" s="394">
        <f t="shared" ref="E19:E27" si="68">IFERROR(D19/B19,"-")</f>
        <v>0.13073263108100525</v>
      </c>
      <c r="F19" s="392">
        <f>'RZiS 2024'!D16</f>
        <v>13000000</v>
      </c>
      <c r="G19" s="403">
        <f t="shared" si="63"/>
        <v>2000000</v>
      </c>
      <c r="H19" s="394">
        <f t="shared" ref="H19:H27" si="69">IFERROR(G19/C19,"-")</f>
        <v>0.18181818181818182</v>
      </c>
      <c r="I19" s="392">
        <f>'RZiS 2025'!D16</f>
        <v>15000000</v>
      </c>
      <c r="J19" s="403">
        <f t="shared" si="57"/>
        <v>2000000</v>
      </c>
      <c r="K19" s="394">
        <f t="shared" ref="K19:K27" si="70">IFERROR(J19/F19,"-")</f>
        <v>0.15384615384615385</v>
      </c>
      <c r="M19" s="391" t="s">
        <v>132</v>
      </c>
      <c r="N19" s="392">
        <f t="shared" si="64"/>
        <v>9728.2060299999994</v>
      </c>
      <c r="O19" s="392">
        <f t="shared" si="64"/>
        <v>11000</v>
      </c>
      <c r="P19" s="405">
        <f t="shared" si="58"/>
        <v>1271.7939700000006</v>
      </c>
      <c r="Q19" s="394">
        <f t="shared" ref="Q19:Q27" si="71">IFERROR(P19/N19,"-")</f>
        <v>0.13073263108100525</v>
      </c>
      <c r="R19" s="392">
        <f t="shared" si="65"/>
        <v>13000</v>
      </c>
      <c r="S19" s="403">
        <f t="shared" si="59"/>
        <v>2000</v>
      </c>
      <c r="T19" s="394">
        <f t="shared" ref="T19:T27" si="72">IFERROR(S19/O19,"-")</f>
        <v>0.18181818181818182</v>
      </c>
      <c r="U19" s="392">
        <f t="shared" si="66"/>
        <v>15000</v>
      </c>
      <c r="V19" s="403">
        <f t="shared" si="60"/>
        <v>2000</v>
      </c>
      <c r="W19" s="394">
        <f t="shared" ref="W19:W27" si="73">IFERROR(V19/R19,"-")</f>
        <v>0.15384615384615385</v>
      </c>
      <c r="X19" s="403">
        <f t="shared" si="61"/>
        <v>5271.7939700000006</v>
      </c>
      <c r="Y19" s="683">
        <f t="shared" si="67"/>
        <v>0.54190813329227994</v>
      </c>
      <c r="Z19" s="386">
        <f>X19/N19</f>
        <v>0.54190813329227994</v>
      </c>
    </row>
    <row r="20" spans="1:28" ht="21.75" customHeight="1">
      <c r="A20" s="391" t="s">
        <v>133</v>
      </c>
      <c r="B20" s="392">
        <f>'RZiS 2022'!D17</f>
        <v>105817079.56999999</v>
      </c>
      <c r="C20" s="392">
        <f>'RZiS 2023'!D17</f>
        <v>112000000</v>
      </c>
      <c r="D20" s="393">
        <f t="shared" si="62"/>
        <v>6182920.4300000072</v>
      </c>
      <c r="E20" s="394">
        <f t="shared" si="68"/>
        <v>5.8430269056044856E-2</v>
      </c>
      <c r="F20" s="392">
        <f>'RZiS 2024'!D17</f>
        <v>118000000</v>
      </c>
      <c r="G20" s="403">
        <f t="shared" si="63"/>
        <v>6000000</v>
      </c>
      <c r="H20" s="394">
        <f t="shared" si="69"/>
        <v>5.3571428571428568E-2</v>
      </c>
      <c r="I20" s="392">
        <f>'RZiS 2025'!D17</f>
        <v>129000000</v>
      </c>
      <c r="J20" s="403">
        <f t="shared" si="57"/>
        <v>11000000</v>
      </c>
      <c r="K20" s="394">
        <f t="shared" si="70"/>
        <v>9.3220338983050849E-2</v>
      </c>
      <c r="M20" s="391" t="s">
        <v>133</v>
      </c>
      <c r="N20" s="392">
        <f t="shared" si="64"/>
        <v>105817.07956999999</v>
      </c>
      <c r="O20" s="392">
        <f t="shared" si="64"/>
        <v>112000</v>
      </c>
      <c r="P20" s="405">
        <f t="shared" si="58"/>
        <v>6182.9204300000129</v>
      </c>
      <c r="Q20" s="394">
        <f t="shared" si="71"/>
        <v>5.8430269056044919E-2</v>
      </c>
      <c r="R20" s="392">
        <f t="shared" si="65"/>
        <v>118000</v>
      </c>
      <c r="S20" s="403">
        <f t="shared" si="59"/>
        <v>6000</v>
      </c>
      <c r="T20" s="394">
        <f t="shared" si="72"/>
        <v>5.3571428571428568E-2</v>
      </c>
      <c r="U20" s="392">
        <f t="shared" si="66"/>
        <v>129000</v>
      </c>
      <c r="V20" s="403">
        <f t="shared" si="60"/>
        <v>11000</v>
      </c>
      <c r="W20" s="394">
        <f t="shared" si="73"/>
        <v>9.3220338983050849E-2</v>
      </c>
      <c r="X20" s="403">
        <f t="shared" si="61"/>
        <v>23182.920430000013</v>
      </c>
      <c r="Y20" s="683">
        <f t="shared" si="67"/>
        <v>0.21908486346633746</v>
      </c>
      <c r="Z20" s="386">
        <f>X20/N20</f>
        <v>0.21908486346633746</v>
      </c>
    </row>
    <row r="21" spans="1:28" ht="21.75" customHeight="1">
      <c r="A21" s="391" t="s">
        <v>134</v>
      </c>
      <c r="B21" s="392">
        <f>'RZiS 2022'!D18</f>
        <v>809487.91</v>
      </c>
      <c r="C21" s="392">
        <f>'RZiS 2023'!D18</f>
        <v>950000</v>
      </c>
      <c r="D21" s="405">
        <f t="shared" si="62"/>
        <v>140512.08999999997</v>
      </c>
      <c r="E21" s="394">
        <f t="shared" si="68"/>
        <v>0.17358145596022548</v>
      </c>
      <c r="F21" s="392">
        <f>'RZiS 2024'!D18</f>
        <v>1000000</v>
      </c>
      <c r="G21" s="403">
        <f t="shared" si="63"/>
        <v>50000</v>
      </c>
      <c r="H21" s="394">
        <f t="shared" si="69"/>
        <v>5.2631578947368418E-2</v>
      </c>
      <c r="I21" s="392">
        <f>'RZiS 2025'!D18</f>
        <v>1200000</v>
      </c>
      <c r="J21" s="403">
        <f t="shared" si="57"/>
        <v>200000</v>
      </c>
      <c r="K21" s="394">
        <f t="shared" si="70"/>
        <v>0.2</v>
      </c>
      <c r="M21" s="391" t="s">
        <v>134</v>
      </c>
      <c r="N21" s="392">
        <f t="shared" si="64"/>
        <v>809.48791000000006</v>
      </c>
      <c r="O21" s="392">
        <f t="shared" si="64"/>
        <v>950</v>
      </c>
      <c r="P21" s="405">
        <f t="shared" si="58"/>
        <v>140.51208999999994</v>
      </c>
      <c r="Q21" s="394">
        <f t="shared" si="71"/>
        <v>0.17358145596022545</v>
      </c>
      <c r="R21" s="392">
        <f t="shared" si="65"/>
        <v>1000</v>
      </c>
      <c r="S21" s="403">
        <f t="shared" si="59"/>
        <v>50</v>
      </c>
      <c r="T21" s="394">
        <f t="shared" si="72"/>
        <v>5.2631578947368418E-2</v>
      </c>
      <c r="U21" s="392">
        <f t="shared" si="66"/>
        <v>1200</v>
      </c>
      <c r="V21" s="403">
        <f t="shared" si="60"/>
        <v>200</v>
      </c>
      <c r="W21" s="394">
        <f t="shared" si="73"/>
        <v>0.2</v>
      </c>
      <c r="X21" s="403">
        <f t="shared" si="61"/>
        <v>390.51208999999994</v>
      </c>
      <c r="Y21" s="683">
        <f t="shared" si="67"/>
        <v>0.48241868121291637</v>
      </c>
    </row>
    <row r="22" spans="1:28" ht="21.75" customHeight="1">
      <c r="A22" s="391" t="s">
        <v>135</v>
      </c>
      <c r="B22" s="392">
        <f>'RZiS 2022'!D19</f>
        <v>0</v>
      </c>
      <c r="C22" s="392">
        <f>'RZiS 2023'!D19</f>
        <v>0</v>
      </c>
      <c r="D22" s="405">
        <f t="shared" si="62"/>
        <v>0</v>
      </c>
      <c r="E22" s="394" t="str">
        <f t="shared" si="68"/>
        <v>-</v>
      </c>
      <c r="F22" s="392">
        <f>'RZiS 2024'!D19</f>
        <v>0</v>
      </c>
      <c r="G22" s="403">
        <f t="shared" si="63"/>
        <v>0</v>
      </c>
      <c r="H22" s="394" t="str">
        <f t="shared" si="69"/>
        <v>-</v>
      </c>
      <c r="I22" s="392">
        <f>'RZiS 2025'!D19</f>
        <v>0</v>
      </c>
      <c r="J22" s="403">
        <f t="shared" si="57"/>
        <v>0</v>
      </c>
      <c r="K22" s="394" t="str">
        <f t="shared" si="70"/>
        <v>-</v>
      </c>
      <c r="M22" s="391" t="s">
        <v>135</v>
      </c>
      <c r="N22" s="392">
        <f t="shared" si="64"/>
        <v>0</v>
      </c>
      <c r="O22" s="392">
        <f t="shared" si="64"/>
        <v>0</v>
      </c>
      <c r="P22" s="405">
        <f t="shared" si="58"/>
        <v>0</v>
      </c>
      <c r="Q22" s="394" t="str">
        <f t="shared" si="71"/>
        <v>-</v>
      </c>
      <c r="R22" s="392">
        <f t="shared" si="65"/>
        <v>0</v>
      </c>
      <c r="S22" s="403">
        <f t="shared" si="59"/>
        <v>0</v>
      </c>
      <c r="T22" s="394" t="str">
        <f t="shared" si="72"/>
        <v>-</v>
      </c>
      <c r="U22" s="392">
        <f t="shared" si="66"/>
        <v>0</v>
      </c>
      <c r="V22" s="403">
        <f t="shared" si="60"/>
        <v>0</v>
      </c>
      <c r="W22" s="394" t="str">
        <f t="shared" si="73"/>
        <v>-</v>
      </c>
      <c r="X22" s="403">
        <f t="shared" si="61"/>
        <v>0</v>
      </c>
      <c r="Y22" s="683" t="e">
        <f t="shared" si="67"/>
        <v>#DIV/0!</v>
      </c>
    </row>
    <row r="23" spans="1:28" ht="21.75" customHeight="1">
      <c r="A23" s="391" t="s">
        <v>136</v>
      </c>
      <c r="B23" s="392">
        <f>'RZiS 2022'!D20</f>
        <v>93899636.150000006</v>
      </c>
      <c r="C23" s="392">
        <f>'RZiS 2023'!D20</f>
        <v>102000000</v>
      </c>
      <c r="D23" s="405">
        <f t="shared" si="62"/>
        <v>8100363.849999994</v>
      </c>
      <c r="E23" s="394">
        <f t="shared" si="68"/>
        <v>8.626618996755285E-2</v>
      </c>
      <c r="F23" s="392">
        <f>'RZiS 2024'!D20</f>
        <v>106000000</v>
      </c>
      <c r="G23" s="403">
        <f t="shared" si="63"/>
        <v>4000000</v>
      </c>
      <c r="H23" s="394">
        <f t="shared" si="69"/>
        <v>3.9215686274509803E-2</v>
      </c>
      <c r="I23" s="392">
        <f>'RZiS 2025'!D20</f>
        <v>110000000</v>
      </c>
      <c r="J23" s="403">
        <f t="shared" si="57"/>
        <v>4000000</v>
      </c>
      <c r="K23" s="394">
        <f t="shared" si="70"/>
        <v>3.7735849056603772E-2</v>
      </c>
      <c r="M23" s="391" t="s">
        <v>136</v>
      </c>
      <c r="N23" s="392">
        <f t="shared" si="64"/>
        <v>93899.636150000006</v>
      </c>
      <c r="O23" s="392">
        <f t="shared" si="64"/>
        <v>102000</v>
      </c>
      <c r="P23" s="405">
        <f t="shared" si="58"/>
        <v>8100.3638499999943</v>
      </c>
      <c r="Q23" s="394">
        <f t="shared" si="71"/>
        <v>8.6266189967552864E-2</v>
      </c>
      <c r="R23" s="392">
        <f t="shared" si="65"/>
        <v>106000</v>
      </c>
      <c r="S23" s="403">
        <f t="shared" si="59"/>
        <v>4000</v>
      </c>
      <c r="T23" s="394">
        <f t="shared" si="72"/>
        <v>3.9215686274509803E-2</v>
      </c>
      <c r="U23" s="392">
        <f t="shared" si="66"/>
        <v>110000</v>
      </c>
      <c r="V23" s="403">
        <f t="shared" si="60"/>
        <v>4000</v>
      </c>
      <c r="W23" s="394">
        <f t="shared" si="73"/>
        <v>3.7735849056603772E-2</v>
      </c>
      <c r="X23" s="403">
        <f t="shared" si="61"/>
        <v>16100.363849999994</v>
      </c>
      <c r="Y23" s="683">
        <f t="shared" si="67"/>
        <v>0.17146353820030211</v>
      </c>
      <c r="Z23" s="386">
        <f>X23/N23</f>
        <v>0.17146353820030211</v>
      </c>
      <c r="AB23" s="378">
        <f>X23+X24</f>
        <v>20831.950219999995</v>
      </c>
    </row>
    <row r="24" spans="1:28" ht="28.5" customHeight="1">
      <c r="A24" s="391" t="s">
        <v>275</v>
      </c>
      <c r="B24" s="392">
        <f>'RZiS 2022'!D21</f>
        <v>20268413.629999999</v>
      </c>
      <c r="C24" s="392">
        <f>'RZiS 2023'!D21</f>
        <v>22000000</v>
      </c>
      <c r="D24" s="405">
        <f t="shared" si="62"/>
        <v>1731586.370000001</v>
      </c>
      <c r="E24" s="394">
        <f t="shared" si="68"/>
        <v>8.5432752735863773E-2</v>
      </c>
      <c r="F24" s="392">
        <f>'RZiS 2024'!D21</f>
        <v>23000000</v>
      </c>
      <c r="G24" s="403">
        <f t="shared" si="63"/>
        <v>1000000</v>
      </c>
      <c r="H24" s="394">
        <f t="shared" si="69"/>
        <v>4.5454545454545456E-2</v>
      </c>
      <c r="I24" s="392">
        <f>'RZiS 2025'!D21</f>
        <v>25000000</v>
      </c>
      <c r="J24" s="403">
        <f t="shared" si="57"/>
        <v>2000000</v>
      </c>
      <c r="K24" s="394">
        <f t="shared" si="70"/>
        <v>8.6956521739130432E-2</v>
      </c>
      <c r="M24" s="391" t="s">
        <v>275</v>
      </c>
      <c r="N24" s="392">
        <f t="shared" si="64"/>
        <v>20268.413629999999</v>
      </c>
      <c r="O24" s="392">
        <f t="shared" si="64"/>
        <v>22000</v>
      </c>
      <c r="P24" s="405">
        <f t="shared" si="58"/>
        <v>1731.5863700000009</v>
      </c>
      <c r="Q24" s="394">
        <f t="shared" si="71"/>
        <v>8.5432752735863773E-2</v>
      </c>
      <c r="R24" s="392">
        <f t="shared" si="65"/>
        <v>23000</v>
      </c>
      <c r="S24" s="403">
        <f>R24-O24</f>
        <v>1000</v>
      </c>
      <c r="T24" s="394">
        <f t="shared" si="72"/>
        <v>4.5454545454545456E-2</v>
      </c>
      <c r="U24" s="392">
        <f t="shared" si="66"/>
        <v>25000</v>
      </c>
      <c r="V24" s="403">
        <f t="shared" si="60"/>
        <v>2000</v>
      </c>
      <c r="W24" s="394">
        <f t="shared" si="73"/>
        <v>8.6956521739130432E-2</v>
      </c>
      <c r="X24" s="403">
        <f t="shared" si="61"/>
        <v>4731.5863700000009</v>
      </c>
      <c r="Y24" s="683">
        <f t="shared" si="67"/>
        <v>0.23344630992711793</v>
      </c>
      <c r="Z24" s="386">
        <f>X24/N24</f>
        <v>0.23344630992711793</v>
      </c>
      <c r="AB24" s="386">
        <f>AB23/(N23+N24)</f>
        <v>0.18246742639593852</v>
      </c>
    </row>
    <row r="25" spans="1:28" ht="21.75" customHeight="1">
      <c r="A25" s="391" t="s">
        <v>138</v>
      </c>
      <c r="B25" s="392">
        <f>'RZiS 2022'!D22</f>
        <v>8198161.9299999997</v>
      </c>
      <c r="C25" s="392">
        <f>'RZiS 2023'!D22</f>
        <v>9000000</v>
      </c>
      <c r="D25" s="405">
        <f t="shared" si="62"/>
        <v>801838.0700000003</v>
      </c>
      <c r="E25" s="394">
        <f t="shared" si="68"/>
        <v>9.7807054416159889E-2</v>
      </c>
      <c r="F25" s="392">
        <f>'RZiS 2024'!D22</f>
        <v>10500000</v>
      </c>
      <c r="G25" s="403">
        <f t="shared" si="63"/>
        <v>1500000</v>
      </c>
      <c r="H25" s="394">
        <f t="shared" si="69"/>
        <v>0.16666666666666666</v>
      </c>
      <c r="I25" s="392">
        <f>'RZiS 2025'!D22</f>
        <v>12000000</v>
      </c>
      <c r="J25" s="403">
        <f t="shared" si="57"/>
        <v>1500000</v>
      </c>
      <c r="K25" s="394">
        <f t="shared" si="70"/>
        <v>0.14285714285714285</v>
      </c>
      <c r="M25" s="391" t="s">
        <v>138</v>
      </c>
      <c r="N25" s="392">
        <f t="shared" si="64"/>
        <v>8198.1619300000002</v>
      </c>
      <c r="O25" s="392">
        <f t="shared" si="64"/>
        <v>9000</v>
      </c>
      <c r="P25" s="405">
        <f t="shared" si="58"/>
        <v>801.83806999999979</v>
      </c>
      <c r="Q25" s="394">
        <f t="shared" si="71"/>
        <v>9.7807054416159819E-2</v>
      </c>
      <c r="R25" s="392">
        <f t="shared" si="65"/>
        <v>10500</v>
      </c>
      <c r="S25" s="403">
        <f t="shared" si="59"/>
        <v>1500</v>
      </c>
      <c r="T25" s="394">
        <f t="shared" si="72"/>
        <v>0.16666666666666666</v>
      </c>
      <c r="U25" s="392">
        <f t="shared" si="66"/>
        <v>12000</v>
      </c>
      <c r="V25" s="403">
        <f t="shared" si="60"/>
        <v>1500</v>
      </c>
      <c r="W25" s="394">
        <f t="shared" si="73"/>
        <v>0.14285714285714285</v>
      </c>
      <c r="X25" s="403">
        <f t="shared" si="61"/>
        <v>3801.8380699999998</v>
      </c>
      <c r="Y25" s="683">
        <f t="shared" si="67"/>
        <v>0.46374273922154641</v>
      </c>
    </row>
    <row r="26" spans="1:28" ht="21.75" customHeight="1">
      <c r="A26" s="391" t="s">
        <v>139</v>
      </c>
      <c r="B26" s="392">
        <f>'RZiS 2022'!D23</f>
        <v>3344367.6</v>
      </c>
      <c r="C26" s="392">
        <f>'RZiS 2023'!D23</f>
        <v>3500000</v>
      </c>
      <c r="D26" s="405">
        <f t="shared" si="62"/>
        <v>155632.39999999991</v>
      </c>
      <c r="E26" s="394">
        <f t="shared" si="68"/>
        <v>4.6535673889437246E-2</v>
      </c>
      <c r="F26" s="392">
        <f>'RZiS 2024'!D23</f>
        <v>3900000</v>
      </c>
      <c r="G26" s="403">
        <f t="shared" si="63"/>
        <v>400000</v>
      </c>
      <c r="H26" s="394">
        <f t="shared" si="69"/>
        <v>0.11428571428571428</v>
      </c>
      <c r="I26" s="392">
        <f>'RZiS 2025'!D23</f>
        <v>4200000</v>
      </c>
      <c r="J26" s="403">
        <f t="shared" si="57"/>
        <v>300000</v>
      </c>
      <c r="K26" s="394">
        <f t="shared" si="70"/>
        <v>7.6923076923076927E-2</v>
      </c>
      <c r="M26" s="391" t="s">
        <v>139</v>
      </c>
      <c r="N26" s="392">
        <f t="shared" si="64"/>
        <v>3344.3676</v>
      </c>
      <c r="O26" s="392">
        <f t="shared" si="64"/>
        <v>3500</v>
      </c>
      <c r="P26" s="405">
        <f t="shared" si="58"/>
        <v>155.63239999999996</v>
      </c>
      <c r="Q26" s="394">
        <f t="shared" si="71"/>
        <v>4.653567388943726E-2</v>
      </c>
      <c r="R26" s="392">
        <f t="shared" si="65"/>
        <v>3900</v>
      </c>
      <c r="S26" s="403">
        <f t="shared" si="59"/>
        <v>400</v>
      </c>
      <c r="T26" s="394">
        <f t="shared" si="72"/>
        <v>0.11428571428571428</v>
      </c>
      <c r="U26" s="392">
        <f t="shared" si="66"/>
        <v>4200</v>
      </c>
      <c r="V26" s="403">
        <f t="shared" si="60"/>
        <v>300</v>
      </c>
      <c r="W26" s="394">
        <f t="shared" si="73"/>
        <v>7.6923076923076927E-2</v>
      </c>
      <c r="X26" s="403">
        <f t="shared" si="61"/>
        <v>855.63239999999996</v>
      </c>
      <c r="Y26" s="683">
        <f t="shared" si="67"/>
        <v>0.25584280866732473</v>
      </c>
    </row>
    <row r="27" spans="1:28" ht="21.75" customHeight="1">
      <c r="A27" s="391" t="s">
        <v>141</v>
      </c>
      <c r="B27" s="392">
        <f>'RZiS 2022'!D24</f>
        <v>3807325.5</v>
      </c>
      <c r="C27" s="392">
        <f>'RZiS 2023'!D24</f>
        <v>3800000</v>
      </c>
      <c r="D27" s="405">
        <f t="shared" si="62"/>
        <v>-7325.5</v>
      </c>
      <c r="E27" s="394">
        <f t="shared" si="68"/>
        <v>-1.9240540374076238E-3</v>
      </c>
      <c r="F27" s="392">
        <f>'RZiS 2024'!D24</f>
        <v>4000000</v>
      </c>
      <c r="G27" s="403">
        <f t="shared" si="63"/>
        <v>200000</v>
      </c>
      <c r="H27" s="394">
        <f t="shared" si="69"/>
        <v>5.2631578947368418E-2</v>
      </c>
      <c r="I27" s="392">
        <f>'RZiS 2025'!D24</f>
        <v>4000000</v>
      </c>
      <c r="J27" s="403">
        <f t="shared" si="57"/>
        <v>0</v>
      </c>
      <c r="K27" s="394">
        <f t="shared" si="70"/>
        <v>0</v>
      </c>
      <c r="M27" s="391" t="s">
        <v>141</v>
      </c>
      <c r="N27" s="392">
        <f t="shared" si="64"/>
        <v>3807.3254999999999</v>
      </c>
      <c r="O27" s="392">
        <f t="shared" si="64"/>
        <v>3800</v>
      </c>
      <c r="P27" s="405">
        <f t="shared" si="58"/>
        <v>-7.32549999999992</v>
      </c>
      <c r="Q27" s="394">
        <f t="shared" si="71"/>
        <v>-1.9240540374076028E-3</v>
      </c>
      <c r="R27" s="392">
        <f t="shared" si="65"/>
        <v>4000</v>
      </c>
      <c r="S27" s="403">
        <f t="shared" si="59"/>
        <v>200</v>
      </c>
      <c r="T27" s="394">
        <f t="shared" si="72"/>
        <v>5.2631578947368418E-2</v>
      </c>
      <c r="U27" s="392">
        <f t="shared" si="66"/>
        <v>4000</v>
      </c>
      <c r="V27" s="403">
        <f t="shared" si="60"/>
        <v>0</v>
      </c>
      <c r="W27" s="394">
        <f t="shared" si="73"/>
        <v>0</v>
      </c>
      <c r="X27" s="403">
        <f t="shared" si="61"/>
        <v>192.67450000000008</v>
      </c>
      <c r="Y27" s="683">
        <f t="shared" si="67"/>
        <v>5.0606258907991995E-2</v>
      </c>
    </row>
    <row r="28" spans="1:28">
      <c r="B28" s="400">
        <f>B17-B10</f>
        <v>0</v>
      </c>
      <c r="C28" s="400">
        <f t="shared" ref="C28:I28" si="74">C17-C10</f>
        <v>0</v>
      </c>
      <c r="D28" s="400"/>
      <c r="E28" s="400"/>
      <c r="F28" s="400">
        <f t="shared" si="74"/>
        <v>0</v>
      </c>
      <c r="G28" s="400"/>
      <c r="H28" s="400"/>
      <c r="I28" s="400">
        <f t="shared" si="74"/>
        <v>0</v>
      </c>
      <c r="S28" s="400">
        <f>S23+S24</f>
        <v>5000</v>
      </c>
      <c r="T28" s="429">
        <f>S28/(O23+O24)</f>
        <v>4.0322580645161289E-2</v>
      </c>
    </row>
    <row r="30" spans="1:28" ht="34.5" customHeight="1">
      <c r="A30" s="388" t="s">
        <v>122</v>
      </c>
      <c r="B30" s="388" t="str">
        <f ca="1">'RZiS 2022'!$D$7</f>
        <v>2022</v>
      </c>
      <c r="C30" s="388" t="str">
        <f ca="1">'RZiS 2023'!$D$7</f>
        <v>2023</v>
      </c>
      <c r="D30" s="389" t="str">
        <f ca="1">CONCATENATE("Różnica"," ",C30,"-",B30)</f>
        <v>Różnica 2023-2022</v>
      </c>
      <c r="E30" s="389" t="str">
        <f ca="1">CONCATENATE("Dynamika"," ",C30,"/",B30)</f>
        <v>Dynamika 2023/2022</v>
      </c>
      <c r="F30" s="388" t="str">
        <f ca="1">'RZiS 2024'!$D$7</f>
        <v>2024</v>
      </c>
      <c r="G30" s="389" t="str">
        <f ca="1">CONCATENATE("Różnica"," ",F30,"-",C30)</f>
        <v>Różnica 2024-2023</v>
      </c>
      <c r="H30" s="389" t="str">
        <f ca="1">CONCATENATE("Dynamika"," ",F30,"/",C30)</f>
        <v>Dynamika 2024/2023</v>
      </c>
      <c r="I30" s="388" t="str">
        <f ca="1">'RZiS 2025'!$D$7</f>
        <v>2025</v>
      </c>
      <c r="J30" s="389" t="str">
        <f ca="1">CONCATENATE("Różnica"," ",I30,"-",F30)</f>
        <v>Różnica 2025-2024</v>
      </c>
      <c r="K30" s="389" t="str">
        <f ca="1">CONCATENATE("Dynamika"," ",I30,"/",F30)</f>
        <v>Dynamika 2025/2024</v>
      </c>
      <c r="M30" s="388" t="str">
        <f>A30</f>
        <v>Wyszczególnienie</v>
      </c>
      <c r="N30" s="388" t="str">
        <f t="shared" ref="N30" ca="1" si="75">B30</f>
        <v>2022</v>
      </c>
      <c r="O30" s="388" t="str">
        <f t="shared" ref="O30" ca="1" si="76">C30</f>
        <v>2023</v>
      </c>
      <c r="P30" s="389" t="str">
        <f t="shared" ref="P30" ca="1" si="77">D30</f>
        <v>Różnica 2023-2022</v>
      </c>
      <c r="Q30" s="389" t="str">
        <f t="shared" ref="Q30" ca="1" si="78">E30</f>
        <v>Dynamika 2023/2022</v>
      </c>
      <c r="R30" s="388" t="str">
        <f t="shared" ref="R30" ca="1" si="79">F30</f>
        <v>2024</v>
      </c>
      <c r="S30" s="390" t="str">
        <f t="shared" ref="S30" ca="1" si="80">G30</f>
        <v>Różnica 2024-2023</v>
      </c>
      <c r="T30" s="389" t="str">
        <f t="shared" ref="T30" ca="1" si="81">H30</f>
        <v>Dynamika 2024/2023</v>
      </c>
      <c r="U30" s="388" t="str">
        <f t="shared" ref="U30" ca="1" si="82">I30</f>
        <v>2025</v>
      </c>
      <c r="V30" s="390" t="str">
        <f t="shared" ref="V30" ca="1" si="83">J30</f>
        <v>Różnica 2025-2024</v>
      </c>
      <c r="W30" s="389" t="str">
        <f t="shared" ref="W30" ca="1" si="84">K30</f>
        <v>Dynamika 2025/2024</v>
      </c>
      <c r="X30" s="390" t="s">
        <v>324</v>
      </c>
      <c r="Y30" s="389" t="s">
        <v>323</v>
      </c>
    </row>
    <row r="31" spans="1:28" s="408" customFormat="1" ht="30.75" customHeight="1">
      <c r="A31" s="406" t="s">
        <v>276</v>
      </c>
      <c r="B31" s="404">
        <f>SUM(B32:B35)</f>
        <v>58168249.699999996</v>
      </c>
      <c r="C31" s="404">
        <f>SUM(C32:C35)</f>
        <v>59898928.829999998</v>
      </c>
      <c r="D31" s="403">
        <f>C31-B31</f>
        <v>1730679.1300000027</v>
      </c>
      <c r="E31" s="407">
        <f t="shared" ref="E31:E35" si="85">IFERROR(D31/B31,"-")</f>
        <v>2.9752986189646391E-2</v>
      </c>
      <c r="F31" s="404">
        <f>SUM(F32:F35)</f>
        <v>59118522</v>
      </c>
      <c r="G31" s="403">
        <f t="shared" ref="G31:G35" si="86">F31-C31</f>
        <v>-780406.82999999821</v>
      </c>
      <c r="H31" s="407">
        <f>IFERROR(G31/C31,"-")</f>
        <v>-1.3028727645779475E-2</v>
      </c>
      <c r="I31" s="404">
        <f>SUM(I32:I35)</f>
        <v>56708747</v>
      </c>
      <c r="J31" s="404">
        <f t="shared" ref="J31:J35" si="87">I31-F31</f>
        <v>-2409775</v>
      </c>
      <c r="K31" s="407">
        <f>IFERROR(J31/F31,"-")</f>
        <v>-4.0761759910032933E-2</v>
      </c>
      <c r="M31" s="406" t="s">
        <v>281</v>
      </c>
      <c r="N31" s="404">
        <f>SUM(N32:N35)</f>
        <v>58168.249699999993</v>
      </c>
      <c r="O31" s="404">
        <f>SUM(O32:O35)</f>
        <v>59898.92882999999</v>
      </c>
      <c r="P31" s="403">
        <f>O31-N31</f>
        <v>1730.6791299999968</v>
      </c>
      <c r="Q31" s="407">
        <f>P31/N31</f>
        <v>2.975298618964629E-2</v>
      </c>
      <c r="R31" s="404">
        <f>SUM(R32:R35)</f>
        <v>59118.521999999997</v>
      </c>
      <c r="S31" s="403">
        <f t="shared" ref="S31:S35" si="88">R31-O31</f>
        <v>-780.40682999999262</v>
      </c>
      <c r="T31" s="407">
        <f>IFERROR(S31/O31,"-")</f>
        <v>-1.3028727645779383E-2</v>
      </c>
      <c r="U31" s="404">
        <f>SUM(U32:U35)</f>
        <v>56708.747000000003</v>
      </c>
      <c r="V31" s="404">
        <f t="shared" ref="V31:V35" si="89">U31-R31</f>
        <v>-2409.7749999999942</v>
      </c>
      <c r="W31" s="407">
        <f>IFERROR(V31/R31,"-")</f>
        <v>-4.0761759910032835E-2</v>
      </c>
      <c r="X31" s="404">
        <f>U31-N31</f>
        <v>-1459.50269999999</v>
      </c>
      <c r="Y31" s="679">
        <f>X31/N31</f>
        <v>-2.5091054097850743E-2</v>
      </c>
      <c r="Z31" s="386">
        <f>X31/N31</f>
        <v>-2.5091054097850743E-2</v>
      </c>
    </row>
    <row r="32" spans="1:28" ht="21.75" customHeight="1">
      <c r="A32" s="391" t="s">
        <v>277</v>
      </c>
      <c r="B32" s="392">
        <f>'BILANS 2022'!K21</f>
        <v>17244499.989999998</v>
      </c>
      <c r="C32" s="392">
        <f>'BILANS 2023'!K21</f>
        <v>15950000</v>
      </c>
      <c r="D32" s="405">
        <f>C32-B32</f>
        <v>-1294499.9899999984</v>
      </c>
      <c r="E32" s="394">
        <f t="shared" si="85"/>
        <v>-7.5067412261919597E-2</v>
      </c>
      <c r="F32" s="392">
        <f>'BILANS 2024'!K21</f>
        <v>16800000</v>
      </c>
      <c r="G32" s="403">
        <f t="shared" si="86"/>
        <v>850000</v>
      </c>
      <c r="H32" s="394">
        <f>IFERROR(G32/C32,"-")</f>
        <v>5.329153605015674E-2</v>
      </c>
      <c r="I32" s="392">
        <f>'BILANS 2025'!K21</f>
        <v>16450000</v>
      </c>
      <c r="J32" s="404">
        <f t="shared" si="87"/>
        <v>-350000</v>
      </c>
      <c r="K32" s="394">
        <f>IFERROR(J32/F32,"-")</f>
        <v>-2.0833333333333332E-2</v>
      </c>
      <c r="M32" s="391" t="s">
        <v>277</v>
      </c>
      <c r="N32" s="392">
        <f t="shared" ref="N32:O35" si="90">B32/1000</f>
        <v>17244.499989999997</v>
      </c>
      <c r="O32" s="392">
        <f t="shared" si="90"/>
        <v>15950</v>
      </c>
      <c r="P32" s="405">
        <f>O32-N32</f>
        <v>-1294.4999899999966</v>
      </c>
      <c r="Q32" s="394">
        <f>IFERROR(P32/N32,"-")</f>
        <v>-7.5067412261919514E-2</v>
      </c>
      <c r="R32" s="392">
        <f t="shared" ref="R32:R35" si="91">F32/1000</f>
        <v>16800</v>
      </c>
      <c r="S32" s="403">
        <f t="shared" si="88"/>
        <v>850</v>
      </c>
      <c r="T32" s="394">
        <f>IFERROR(S32/O32,"-")</f>
        <v>5.329153605015674E-2</v>
      </c>
      <c r="U32" s="392">
        <f t="shared" ref="U32:U35" si="92">I32/1000</f>
        <v>16450</v>
      </c>
      <c r="V32" s="404">
        <f t="shared" si="89"/>
        <v>-350</v>
      </c>
      <c r="W32" s="394">
        <f>IFERROR(V32/R32,"-")</f>
        <v>-2.0833333333333332E-2</v>
      </c>
      <c r="X32" s="404">
        <f>U32-N32</f>
        <v>-794.49998999999661</v>
      </c>
      <c r="Y32" s="679">
        <f t="shared" ref="Y32:Y35" si="93">X32/N32</f>
        <v>-4.6072660295208526E-2</v>
      </c>
      <c r="Z32" s="386">
        <f>X32/N32</f>
        <v>-4.6072660295208526E-2</v>
      </c>
    </row>
    <row r="33" spans="1:26" ht="21.75" customHeight="1">
      <c r="A33" s="391" t="s">
        <v>278</v>
      </c>
      <c r="B33" s="392">
        <f>'BILANS 2022'!K29</f>
        <v>408048.83</v>
      </c>
      <c r="C33" s="392">
        <f>'BILANS 2023'!K29</f>
        <v>1851460</v>
      </c>
      <c r="D33" s="405">
        <f t="shared" ref="D33:D35" si="94">C33-B33</f>
        <v>1443411.17</v>
      </c>
      <c r="E33" s="394">
        <f t="shared" si="85"/>
        <v>3.5373491206922463</v>
      </c>
      <c r="F33" s="392">
        <f>'BILANS 2024'!K29</f>
        <v>1537020</v>
      </c>
      <c r="G33" s="403">
        <f t="shared" si="86"/>
        <v>-314440</v>
      </c>
      <c r="H33" s="394">
        <f t="shared" ref="H33:H35" si="95">IFERROR(G33/C33,"-")</f>
        <v>-0.16983353677638188</v>
      </c>
      <c r="I33" s="392">
        <f>'BILANS 2025'!K29</f>
        <v>1183900</v>
      </c>
      <c r="J33" s="403">
        <f t="shared" si="87"/>
        <v>-353120</v>
      </c>
      <c r="K33" s="394">
        <f t="shared" ref="K33:K35" si="96">IFERROR(J33/F33,"-")</f>
        <v>-0.22974326944346854</v>
      </c>
      <c r="M33" s="391" t="s">
        <v>278</v>
      </c>
      <c r="N33" s="392">
        <f t="shared" si="90"/>
        <v>408.04883000000001</v>
      </c>
      <c r="O33" s="392">
        <f t="shared" si="90"/>
        <v>1851.46</v>
      </c>
      <c r="P33" s="405">
        <f t="shared" ref="P33:P35" si="97">O33-N33</f>
        <v>1443.4111700000001</v>
      </c>
      <c r="Q33" s="394">
        <f t="shared" ref="Q33:Q35" si="98">IFERROR(P33/N33,"-")</f>
        <v>3.5373491206922467</v>
      </c>
      <c r="R33" s="392">
        <f t="shared" si="91"/>
        <v>1537.02</v>
      </c>
      <c r="S33" s="403">
        <f t="shared" si="88"/>
        <v>-314.44000000000005</v>
      </c>
      <c r="T33" s="394">
        <f t="shared" ref="T33:T35" si="99">IFERROR(S33/O33,"-")</f>
        <v>-0.16983353677638191</v>
      </c>
      <c r="U33" s="392">
        <f t="shared" si="92"/>
        <v>1183.9000000000001</v>
      </c>
      <c r="V33" s="403">
        <f t="shared" si="89"/>
        <v>-353.11999999999989</v>
      </c>
      <c r="W33" s="394">
        <f t="shared" ref="W33:W35" si="100">IFERROR(V33/R33,"-")</f>
        <v>-0.22974326944346846</v>
      </c>
      <c r="X33" s="403">
        <f>U33-N33</f>
        <v>775.85117000000014</v>
      </c>
      <c r="Y33" s="680">
        <f t="shared" si="93"/>
        <v>1.9013684465165606</v>
      </c>
    </row>
    <row r="34" spans="1:26" ht="21.75" customHeight="1">
      <c r="A34" s="391" t="s">
        <v>279</v>
      </c>
      <c r="B34" s="392">
        <f>'BILANS 2022'!K38</f>
        <v>28152108.349999998</v>
      </c>
      <c r="C34" s="392">
        <f>'BILANS 2023'!K38</f>
        <v>29648488.829999998</v>
      </c>
      <c r="D34" s="405">
        <f t="shared" si="94"/>
        <v>1496380.4800000004</v>
      </c>
      <c r="E34" s="394">
        <f t="shared" si="85"/>
        <v>5.3153407247382968E-2</v>
      </c>
      <c r="F34" s="392">
        <f>'BILANS 2024'!K38</f>
        <v>30914440</v>
      </c>
      <c r="G34" s="403">
        <f t="shared" si="86"/>
        <v>1265951.1700000018</v>
      </c>
      <c r="H34" s="394">
        <f t="shared" si="95"/>
        <v>4.2698674366129639E-2</v>
      </c>
      <c r="I34" s="392">
        <f>'BILANS 2025'!K38</f>
        <v>31853120</v>
      </c>
      <c r="J34" s="403">
        <f t="shared" si="87"/>
        <v>938680</v>
      </c>
      <c r="K34" s="394">
        <f t="shared" si="96"/>
        <v>3.0363804099314107E-2</v>
      </c>
      <c r="M34" s="391" t="s">
        <v>279</v>
      </c>
      <c r="N34" s="392">
        <f t="shared" si="90"/>
        <v>28152.108349999999</v>
      </c>
      <c r="O34" s="392">
        <f t="shared" si="90"/>
        <v>29648.488829999998</v>
      </c>
      <c r="P34" s="405">
        <f t="shared" si="97"/>
        <v>1496.3804799999998</v>
      </c>
      <c r="Q34" s="394">
        <f t="shared" si="98"/>
        <v>5.315340724738294E-2</v>
      </c>
      <c r="R34" s="392">
        <f t="shared" si="91"/>
        <v>30914.44</v>
      </c>
      <c r="S34" s="403">
        <f t="shared" si="88"/>
        <v>1265.9511700000003</v>
      </c>
      <c r="T34" s="394">
        <f t="shared" si="99"/>
        <v>4.2698674366129584E-2</v>
      </c>
      <c r="U34" s="392">
        <f t="shared" si="92"/>
        <v>31853.119999999999</v>
      </c>
      <c r="V34" s="403">
        <f t="shared" si="89"/>
        <v>938.68000000000029</v>
      </c>
      <c r="W34" s="394">
        <f t="shared" si="100"/>
        <v>3.0363804099314117E-2</v>
      </c>
      <c r="X34" s="403">
        <f>U34-N34</f>
        <v>3701.0116500000004</v>
      </c>
      <c r="Y34" s="680">
        <f t="shared" si="93"/>
        <v>0.13146481265230001</v>
      </c>
      <c r="Z34" s="386">
        <f>X34/N34</f>
        <v>0.13146481265230001</v>
      </c>
    </row>
    <row r="35" spans="1:26" ht="21.75" customHeight="1">
      <c r="A35" s="391" t="s">
        <v>280</v>
      </c>
      <c r="B35" s="392">
        <f>'BILANS 2022'!K62</f>
        <v>12363592.529999999</v>
      </c>
      <c r="C35" s="392">
        <f>'BILANS 2023'!K62</f>
        <v>12448980</v>
      </c>
      <c r="D35" s="405">
        <f t="shared" si="94"/>
        <v>85387.470000000671</v>
      </c>
      <c r="E35" s="394">
        <f t="shared" si="85"/>
        <v>6.9063639708935535E-3</v>
      </c>
      <c r="F35" s="392">
        <f>'BILANS 2024'!K62</f>
        <v>9867062</v>
      </c>
      <c r="G35" s="403">
        <f t="shared" si="86"/>
        <v>-2581918</v>
      </c>
      <c r="H35" s="394">
        <f t="shared" si="95"/>
        <v>-0.20739996369180447</v>
      </c>
      <c r="I35" s="392">
        <f>'BILANS 2025'!K62</f>
        <v>7221727</v>
      </c>
      <c r="J35" s="403">
        <f t="shared" si="87"/>
        <v>-2645335</v>
      </c>
      <c r="K35" s="394">
        <f t="shared" si="96"/>
        <v>-0.26809753501092826</v>
      </c>
      <c r="M35" s="391" t="s">
        <v>280</v>
      </c>
      <c r="N35" s="392">
        <f t="shared" si="90"/>
        <v>12363.59253</v>
      </c>
      <c r="O35" s="392">
        <f t="shared" si="90"/>
        <v>12448.98</v>
      </c>
      <c r="P35" s="405">
        <f t="shared" si="97"/>
        <v>85.387469999999666</v>
      </c>
      <c r="Q35" s="394">
        <f t="shared" si="98"/>
        <v>6.906363970893472E-3</v>
      </c>
      <c r="R35" s="392">
        <f t="shared" si="91"/>
        <v>9867.0619999999999</v>
      </c>
      <c r="S35" s="403">
        <f t="shared" si="88"/>
        <v>-2581.9179999999997</v>
      </c>
      <c r="T35" s="394">
        <f t="shared" si="99"/>
        <v>-0.20739996369180444</v>
      </c>
      <c r="U35" s="392">
        <f t="shared" si="92"/>
        <v>7221.7269999999999</v>
      </c>
      <c r="V35" s="403">
        <f t="shared" si="89"/>
        <v>-2645.335</v>
      </c>
      <c r="W35" s="394">
        <f t="shared" si="100"/>
        <v>-0.26809753501092831</v>
      </c>
      <c r="X35" s="403">
        <f>U35-N35</f>
        <v>-5141.86553</v>
      </c>
      <c r="Y35" s="680">
        <f t="shared" si="93"/>
        <v>-0.41588765704817354</v>
      </c>
      <c r="Z35" s="386">
        <f>X35/N35</f>
        <v>-0.41588765704817354</v>
      </c>
    </row>
    <row r="37" spans="1:26">
      <c r="B37" s="400">
        <f>B31-'BILANS prognozy -ZEST'!P19</f>
        <v>0</v>
      </c>
      <c r="C37" s="400">
        <f>C31-'BILANS prognozy -ZEST'!Q19</f>
        <v>0</v>
      </c>
      <c r="F37" s="400">
        <f>F31-'BILANS prognozy -ZEST'!T19</f>
        <v>0</v>
      </c>
      <c r="I37" s="400">
        <f>I31-'BILANS prognozy -ZEST'!W19</f>
        <v>0</v>
      </c>
    </row>
  </sheetData>
  <mergeCells count="2">
    <mergeCell ref="A1:D1"/>
    <mergeCell ref="M1:P1"/>
  </mergeCells>
  <pageMargins left="0.7" right="0.7" top="0.75" bottom="0.75" header="0.3" footer="0.3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C5:N24"/>
  <sheetViews>
    <sheetView topLeftCell="F1" workbookViewId="0">
      <selection activeCell="L5" sqref="L5"/>
    </sheetView>
  </sheetViews>
  <sheetFormatPr defaultColWidth="9.140625" defaultRowHeight="15"/>
  <cols>
    <col min="1" max="2" width="9.140625" style="42"/>
    <col min="3" max="3" width="38.5703125" style="148" customWidth="1"/>
    <col min="4" max="5" width="11.5703125" style="42" bestFit="1" customWidth="1"/>
    <col min="6" max="6" width="11" style="42" bestFit="1" customWidth="1"/>
    <col min="7" max="7" width="9" style="42" bestFit="1" customWidth="1"/>
    <col min="8" max="9" width="9.140625" style="42"/>
    <col min="10" max="10" width="38.5703125" style="148" customWidth="1"/>
    <col min="11" max="12" width="11.5703125" style="42" bestFit="1" customWidth="1"/>
    <col min="13" max="13" width="11" style="42" bestFit="1" customWidth="1"/>
    <col min="14" max="14" width="9" style="42" bestFit="1" customWidth="1"/>
    <col min="15" max="16384" width="9.140625" style="42"/>
  </cols>
  <sheetData>
    <row r="5" spans="3:14">
      <c r="C5" s="419" t="s">
        <v>290</v>
      </c>
      <c r="D5" s="419" t="str">
        <f ca="1">'zestawienie '!$O$3</f>
        <v>2023</v>
      </c>
      <c r="E5" s="419" t="str">
        <f ca="1">'zestawienie '!$R$3</f>
        <v>2024</v>
      </c>
      <c r="F5" s="419" t="s">
        <v>208</v>
      </c>
      <c r="G5" s="419" t="s">
        <v>209</v>
      </c>
      <c r="J5" s="419" t="s">
        <v>290</v>
      </c>
      <c r="K5" s="419" t="str">
        <f ca="1">D5</f>
        <v>2023</v>
      </c>
      <c r="L5" s="419" t="str">
        <f ca="1">'zestawienie '!$U$3</f>
        <v>2025</v>
      </c>
      <c r="M5" s="419" t="s">
        <v>208</v>
      </c>
      <c r="N5" s="419" t="s">
        <v>209</v>
      </c>
    </row>
    <row r="6" spans="3:14">
      <c r="C6" s="421" t="s">
        <v>291</v>
      </c>
      <c r="D6" s="422">
        <f>'zestawienie '!O7</f>
        <v>268054</v>
      </c>
      <c r="E6" s="422">
        <f>'zestawienie '!R7</f>
        <v>282634</v>
      </c>
      <c r="F6" s="422">
        <f>E6-D6</f>
        <v>14580</v>
      </c>
      <c r="G6" s="423">
        <f t="shared" ref="G6:G9" si="0">IF(D6&lt;0,-F6/D6,F6/D6)</f>
        <v>5.4392025487401789E-2</v>
      </c>
      <c r="J6" s="421" t="s">
        <v>291</v>
      </c>
      <c r="K6" s="422">
        <f>E6</f>
        <v>282634</v>
      </c>
      <c r="L6" s="422">
        <f>'zestawienie '!U7</f>
        <v>303290</v>
      </c>
      <c r="M6" s="422">
        <f>L6-K6</f>
        <v>20656</v>
      </c>
      <c r="N6" s="423">
        <f>IF(K6&lt;0,-M6/K6,M6/K6)</f>
        <v>7.3083917716905963E-2</v>
      </c>
    </row>
    <row r="7" spans="3:14">
      <c r="C7" s="421" t="s">
        <v>292</v>
      </c>
      <c r="D7" s="422">
        <f>'zestawienie '!O14</f>
        <v>262390</v>
      </c>
      <c r="E7" s="422">
        <f>'zestawienie '!R14</f>
        <v>276570</v>
      </c>
      <c r="F7" s="422">
        <f t="shared" ref="F7:F9" si="1">E7-D7</f>
        <v>14180</v>
      </c>
      <c r="G7" s="423">
        <f t="shared" si="0"/>
        <v>5.4041693662106025E-2</v>
      </c>
      <c r="J7" s="421" t="s">
        <v>292</v>
      </c>
      <c r="K7" s="422">
        <f t="shared" ref="K7:K9" si="2">E7</f>
        <v>276570</v>
      </c>
      <c r="L7" s="422">
        <f>'zestawienie '!U14</f>
        <v>296975</v>
      </c>
      <c r="M7" s="422">
        <f t="shared" ref="M7:M9" si="3">L7-K7</f>
        <v>20405</v>
      </c>
      <c r="N7" s="423">
        <f t="shared" ref="N7:N9" si="4">IF(K7&lt;0,-M7/K7,M7/K7)</f>
        <v>7.3778790179701348E-2</v>
      </c>
    </row>
    <row r="8" spans="3:14">
      <c r="C8" s="421" t="s">
        <v>293</v>
      </c>
      <c r="D8" s="422">
        <f>D6-D7</f>
        <v>5664</v>
      </c>
      <c r="E8" s="422">
        <f>E6-E7</f>
        <v>6064</v>
      </c>
      <c r="F8" s="422">
        <f t="shared" si="1"/>
        <v>400</v>
      </c>
      <c r="G8" s="423">
        <f t="shared" si="0"/>
        <v>7.0621468926553674E-2</v>
      </c>
      <c r="J8" s="421" t="s">
        <v>293</v>
      </c>
      <c r="K8" s="422">
        <f t="shared" si="2"/>
        <v>6064</v>
      </c>
      <c r="L8" s="422">
        <f>L6-L7</f>
        <v>6315</v>
      </c>
      <c r="M8" s="422">
        <f t="shared" si="3"/>
        <v>251</v>
      </c>
      <c r="N8" s="423">
        <f t="shared" si="4"/>
        <v>4.1391820580474935E-2</v>
      </c>
    </row>
    <row r="9" spans="3:14" ht="24">
      <c r="C9" s="421" t="s">
        <v>294</v>
      </c>
      <c r="D9" s="422">
        <f>D8+'zestawienie '!O18</f>
        <v>10664</v>
      </c>
      <c r="E9" s="422">
        <f>E8+'zestawienie '!R18</f>
        <v>11564</v>
      </c>
      <c r="F9" s="422">
        <f t="shared" si="1"/>
        <v>900</v>
      </c>
      <c r="G9" s="423">
        <f t="shared" si="0"/>
        <v>8.4396099024756185E-2</v>
      </c>
      <c r="J9" s="421" t="s">
        <v>294</v>
      </c>
      <c r="K9" s="422">
        <f t="shared" si="2"/>
        <v>11564</v>
      </c>
      <c r="L9" s="422">
        <f>L8+'zestawienie '!U18</f>
        <v>12315</v>
      </c>
      <c r="M9" s="422">
        <f t="shared" si="3"/>
        <v>751</v>
      </c>
      <c r="N9" s="423">
        <f t="shared" si="4"/>
        <v>6.4942926323071595E-2</v>
      </c>
    </row>
    <row r="10" spans="3:14">
      <c r="C10" s="417"/>
      <c r="D10" s="418"/>
      <c r="E10" s="418"/>
      <c r="F10" s="418"/>
      <c r="G10" s="418"/>
      <c r="J10" s="417"/>
      <c r="K10" s="418"/>
      <c r="L10" s="418"/>
      <c r="M10" s="418"/>
      <c r="N10" s="418"/>
    </row>
    <row r="11" spans="3:14">
      <c r="C11" s="417"/>
      <c r="D11" s="418"/>
      <c r="E11" s="418"/>
      <c r="F11" s="418"/>
      <c r="G11" s="418"/>
      <c r="J11" s="417"/>
      <c r="K11" s="418"/>
      <c r="L11" s="418"/>
      <c r="M11" s="418"/>
      <c r="N11" s="418"/>
    </row>
    <row r="12" spans="3:14">
      <c r="C12" s="419" t="s">
        <v>290</v>
      </c>
      <c r="D12" s="419" t="str">
        <f ca="1">'zestawienie '!$O$3</f>
        <v>2023</v>
      </c>
      <c r="E12" s="419" t="str">
        <f ca="1">'zestawienie '!$R$3</f>
        <v>2024</v>
      </c>
      <c r="F12" s="420" t="s">
        <v>208</v>
      </c>
      <c r="G12" s="420" t="s">
        <v>209</v>
      </c>
      <c r="J12" s="419" t="s">
        <v>290</v>
      </c>
      <c r="K12" s="419" t="str">
        <f ca="1">D12</f>
        <v>2023</v>
      </c>
      <c r="L12" s="419" t="str">
        <f ca="1">'zestawienie '!$U$3</f>
        <v>2025</v>
      </c>
      <c r="M12" s="420" t="s">
        <v>208</v>
      </c>
      <c r="N12" s="420" t="s">
        <v>209</v>
      </c>
    </row>
    <row r="13" spans="3:14">
      <c r="C13" s="421" t="s">
        <v>296</v>
      </c>
      <c r="D13" s="422">
        <f>'zestawienie '!O4</f>
        <v>261654</v>
      </c>
      <c r="E13" s="422">
        <f>'zestawienie '!R4</f>
        <v>277324</v>
      </c>
      <c r="F13" s="422">
        <f t="shared" ref="F13:F16" si="5">E13-D13</f>
        <v>15670</v>
      </c>
      <c r="G13" s="423">
        <f>IF(D13&lt;0,-F13/D13,F13/D13)</f>
        <v>5.9888249367485304E-2</v>
      </c>
      <c r="J13" s="421" t="s">
        <v>296</v>
      </c>
      <c r="K13" s="422">
        <f>E13</f>
        <v>277324</v>
      </c>
      <c r="L13" s="422">
        <f>'zestawienie '!U4</f>
        <v>297580</v>
      </c>
      <c r="M13" s="422">
        <f t="shared" ref="M13:M16" si="6">L13-K13</f>
        <v>20256</v>
      </c>
      <c r="N13" s="423">
        <f t="shared" ref="N13:N15" si="7">IF(K13&lt;0,-M13/K13,M13/K13)</f>
        <v>7.3040919646334246E-2</v>
      </c>
    </row>
    <row r="14" spans="3:14">
      <c r="C14" s="421" t="s">
        <v>145</v>
      </c>
      <c r="D14" s="422">
        <f>'zestawienie '!O5</f>
        <v>5790</v>
      </c>
      <c r="E14" s="422">
        <f>'zestawienie '!R5</f>
        <v>4800</v>
      </c>
      <c r="F14" s="422">
        <f t="shared" si="5"/>
        <v>-990</v>
      </c>
      <c r="G14" s="423">
        <f>IF(D14&lt;0,-F14/D14,F14/D14)</f>
        <v>-0.17098445595854922</v>
      </c>
      <c r="J14" s="421" t="s">
        <v>145</v>
      </c>
      <c r="K14" s="422">
        <f t="shared" ref="K14:K15" si="8">E14</f>
        <v>4800</v>
      </c>
      <c r="L14" s="422">
        <f>'zestawienie '!U5</f>
        <v>5200</v>
      </c>
      <c r="M14" s="422">
        <f t="shared" si="6"/>
        <v>400</v>
      </c>
      <c r="N14" s="423">
        <f t="shared" si="7"/>
        <v>8.3333333333333329E-2</v>
      </c>
    </row>
    <row r="15" spans="3:14">
      <c r="C15" s="421" t="s">
        <v>155</v>
      </c>
      <c r="D15" s="422">
        <f>'zestawienie '!O6</f>
        <v>610</v>
      </c>
      <c r="E15" s="422">
        <f>'zestawienie '!R6</f>
        <v>510</v>
      </c>
      <c r="F15" s="422">
        <f t="shared" si="5"/>
        <v>-100</v>
      </c>
      <c r="G15" s="423">
        <f>IF(D15&lt;0,-F15/D15,F15/D15)</f>
        <v>-0.16393442622950818</v>
      </c>
      <c r="J15" s="421" t="s">
        <v>155</v>
      </c>
      <c r="K15" s="422">
        <f t="shared" si="8"/>
        <v>510</v>
      </c>
      <c r="L15" s="422">
        <f>'zestawienie '!U6</f>
        <v>510</v>
      </c>
      <c r="M15" s="422">
        <f t="shared" si="6"/>
        <v>0</v>
      </c>
      <c r="N15" s="423">
        <f t="shared" si="7"/>
        <v>0</v>
      </c>
    </row>
    <row r="16" spans="3:14">
      <c r="C16" s="419" t="s">
        <v>295</v>
      </c>
      <c r="D16" s="424">
        <f>SUM(D13:D15)</f>
        <v>268054</v>
      </c>
      <c r="E16" s="424">
        <f>SUM(E13:E15)</f>
        <v>282634</v>
      </c>
      <c r="F16" s="424">
        <f t="shared" si="5"/>
        <v>14580</v>
      </c>
      <c r="G16" s="425">
        <f t="shared" ref="G16" si="9">IF(F16/D16&lt;0,-F16/D16,F16/D16)</f>
        <v>5.4392025487401789E-2</v>
      </c>
      <c r="J16" s="419" t="s">
        <v>295</v>
      </c>
      <c r="K16" s="424">
        <f>SUM(K13:K15)</f>
        <v>282634</v>
      </c>
      <c r="L16" s="424">
        <f>SUM(L13:L15)</f>
        <v>303290</v>
      </c>
      <c r="M16" s="424">
        <f t="shared" si="6"/>
        <v>20656</v>
      </c>
      <c r="N16" s="425">
        <f t="shared" ref="N16" si="10">IF(M16/K16&lt;0,-M16/K16,M16/K16)</f>
        <v>7.3083917716905963E-2</v>
      </c>
    </row>
    <row r="17" spans="3:14">
      <c r="C17" s="417"/>
      <c r="D17" s="418"/>
      <c r="E17" s="418"/>
      <c r="F17" s="418"/>
      <c r="G17" s="418"/>
      <c r="J17" s="417"/>
      <c r="K17" s="418"/>
      <c r="L17" s="418"/>
      <c r="M17" s="418"/>
      <c r="N17" s="418"/>
    </row>
    <row r="19" spans="3:14">
      <c r="C19" s="426" t="s">
        <v>290</v>
      </c>
      <c r="D19" s="419" t="str">
        <f ca="1">'zestawienie '!$O$3</f>
        <v>2023</v>
      </c>
      <c r="E19" s="419" t="str">
        <f ca="1">'zestawienie '!$R$3</f>
        <v>2024</v>
      </c>
      <c r="F19" s="426" t="s">
        <v>208</v>
      </c>
      <c r="G19" s="426" t="s">
        <v>209</v>
      </c>
      <c r="J19" s="426" t="s">
        <v>290</v>
      </c>
      <c r="K19" s="419" t="str">
        <f ca="1">D19</f>
        <v>2023</v>
      </c>
      <c r="L19" s="419" t="str">
        <f ca="1">'zestawienie '!$U$3</f>
        <v>2025</v>
      </c>
      <c r="M19" s="426" t="s">
        <v>208</v>
      </c>
      <c r="N19" s="426" t="s">
        <v>209</v>
      </c>
    </row>
    <row r="20" spans="3:14">
      <c r="C20" s="427" t="s">
        <v>130</v>
      </c>
      <c r="D20" s="422">
        <f>'zestawienie '!O10</f>
        <v>260250</v>
      </c>
      <c r="E20" s="422">
        <f>'zestawienie '!R10</f>
        <v>274400</v>
      </c>
      <c r="F20" s="422">
        <f>E20-D20</f>
        <v>14150</v>
      </c>
      <c r="G20" s="423">
        <f t="shared" ref="G20:G23" si="11">IF(D20&lt;0,-F20/D20,F20/D20)</f>
        <v>5.4370797310278579E-2</v>
      </c>
      <c r="J20" s="427" t="s">
        <v>130</v>
      </c>
      <c r="K20" s="422">
        <f>E20</f>
        <v>274400</v>
      </c>
      <c r="L20" s="422">
        <f>'zestawienie '!U10</f>
        <v>294400</v>
      </c>
      <c r="M20" s="422">
        <f>L20-K20</f>
        <v>20000</v>
      </c>
      <c r="N20" s="423">
        <f t="shared" ref="N20:N23" si="12">IF(K20&lt;0,-M20/K20,M20/K20)</f>
        <v>7.2886297376093298E-2</v>
      </c>
    </row>
    <row r="21" spans="3:14">
      <c r="C21" s="427" t="s">
        <v>150</v>
      </c>
      <c r="D21" s="422">
        <f>'zestawienie '!O11</f>
        <v>2020</v>
      </c>
      <c r="E21" s="422">
        <f>'zestawienie '!R11</f>
        <v>2100</v>
      </c>
      <c r="F21" s="422">
        <f t="shared" ref="F21:F23" si="13">E21-D21</f>
        <v>80</v>
      </c>
      <c r="G21" s="423">
        <f t="shared" si="11"/>
        <v>3.9603960396039604E-2</v>
      </c>
      <c r="J21" s="427" t="s">
        <v>150</v>
      </c>
      <c r="K21" s="422">
        <f t="shared" ref="K21:K23" si="14">E21</f>
        <v>2100</v>
      </c>
      <c r="L21" s="422">
        <f>'zestawienie '!U11</f>
        <v>2500</v>
      </c>
      <c r="M21" s="422">
        <f t="shared" ref="M21:M23" si="15">L21-K21</f>
        <v>400</v>
      </c>
      <c r="N21" s="423">
        <f t="shared" si="12"/>
        <v>0.19047619047619047</v>
      </c>
    </row>
    <row r="22" spans="3:14">
      <c r="C22" s="427" t="s">
        <v>162</v>
      </c>
      <c r="D22" s="422">
        <f>'zestawienie '!O12</f>
        <v>120</v>
      </c>
      <c r="E22" s="422">
        <f>'zestawienie '!R12</f>
        <v>70</v>
      </c>
      <c r="F22" s="422">
        <f t="shared" si="13"/>
        <v>-50</v>
      </c>
      <c r="G22" s="423">
        <f t="shared" si="11"/>
        <v>-0.41666666666666669</v>
      </c>
      <c r="J22" s="427" t="s">
        <v>162</v>
      </c>
      <c r="K22" s="422">
        <f t="shared" si="14"/>
        <v>70</v>
      </c>
      <c r="L22" s="422">
        <f>'zestawienie '!U12</f>
        <v>75</v>
      </c>
      <c r="M22" s="422">
        <f t="shared" si="15"/>
        <v>5</v>
      </c>
      <c r="N22" s="423">
        <f t="shared" si="12"/>
        <v>7.1428571428571425E-2</v>
      </c>
    </row>
    <row r="23" spans="3:14">
      <c r="C23" s="427" t="s">
        <v>166</v>
      </c>
      <c r="D23" s="422">
        <f>'zestawienie '!O13</f>
        <v>0</v>
      </c>
      <c r="E23" s="422">
        <f>'zestawienie '!R13</f>
        <v>0</v>
      </c>
      <c r="F23" s="422">
        <f t="shared" si="13"/>
        <v>0</v>
      </c>
      <c r="G23" s="423" t="e">
        <f t="shared" si="11"/>
        <v>#DIV/0!</v>
      </c>
      <c r="J23" s="427" t="s">
        <v>166</v>
      </c>
      <c r="K23" s="422">
        <f t="shared" si="14"/>
        <v>0</v>
      </c>
      <c r="L23" s="422">
        <f>'zestawienie '!U13</f>
        <v>0</v>
      </c>
      <c r="M23" s="422">
        <f t="shared" si="15"/>
        <v>0</v>
      </c>
      <c r="N23" s="423" t="e">
        <f t="shared" si="12"/>
        <v>#DIV/0!</v>
      </c>
    </row>
    <row r="24" spans="3:14">
      <c r="C24" s="426" t="s">
        <v>295</v>
      </c>
      <c r="D24" s="428">
        <f>SUM(D20:D23)</f>
        <v>262390</v>
      </c>
      <c r="E24" s="428">
        <f t="shared" ref="E24" si="16">SUM(E20:E23)</f>
        <v>276570</v>
      </c>
      <c r="F24" s="428">
        <f>SUM(F20:F23)</f>
        <v>14180</v>
      </c>
      <c r="G24" s="425">
        <f t="shared" ref="G24" si="17">IF(F24/D24&lt;0,-F24/D24,F24/D24)</f>
        <v>5.4041693662106025E-2</v>
      </c>
      <c r="J24" s="426" t="s">
        <v>295</v>
      </c>
      <c r="K24" s="428">
        <f>SUM(K20:K23)</f>
        <v>276570</v>
      </c>
      <c r="L24" s="428">
        <f t="shared" ref="L24" si="18">SUM(L20:L23)</f>
        <v>296975</v>
      </c>
      <c r="M24" s="428">
        <f>SUM(M20:M23)</f>
        <v>20405</v>
      </c>
      <c r="N24" s="425">
        <f t="shared" ref="N24" si="19">IF(M24/K24&lt;0,-M24/K24,M24/K24)</f>
        <v>7.3778790179701348E-2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C5:M38"/>
  <sheetViews>
    <sheetView topLeftCell="B1" workbookViewId="0">
      <selection activeCell="U29" sqref="U29"/>
    </sheetView>
  </sheetViews>
  <sheetFormatPr defaultColWidth="9.140625" defaultRowHeight="9.75"/>
  <cols>
    <col min="1" max="2" width="9.140625" style="431"/>
    <col min="3" max="3" width="18.140625" style="442" customWidth="1"/>
    <col min="4" max="7" width="8" style="431" bestFit="1" customWidth="1"/>
    <col min="8" max="8" width="7.85546875" style="431" bestFit="1" customWidth="1"/>
    <col min="9" max="11" width="7.28515625" style="431" bestFit="1" customWidth="1"/>
    <col min="12" max="12" width="7.85546875" style="431" bestFit="1" customWidth="1"/>
    <col min="13" max="13" width="7.28515625" style="431" bestFit="1" customWidth="1"/>
    <col min="14" max="16384" width="9.140625" style="431"/>
  </cols>
  <sheetData>
    <row r="5" spans="3:13" ht="18">
      <c r="C5" s="430" t="s">
        <v>290</v>
      </c>
      <c r="D5" s="430" t="str">
        <f ca="1">'zestawienie '!$N$3</f>
        <v>2022</v>
      </c>
      <c r="E5" s="430" t="str">
        <f ca="1">'zestawienie '!$O$3</f>
        <v>2023</v>
      </c>
      <c r="F5" s="430" t="str">
        <f ca="1">'zestawienie '!$R$3</f>
        <v>2024</v>
      </c>
      <c r="G5" s="430" t="str">
        <f ca="1">'zestawienie '!$U$3</f>
        <v>2025</v>
      </c>
      <c r="H5" s="430" t="str">
        <f ca="1">CONCATENATE("Różnica"," ",F5,"-",E5)</f>
        <v>Różnica 2024-2023</v>
      </c>
      <c r="I5" s="430" t="str">
        <f ca="1">CONCATENATE("Różnica"," ",G5,"-",F5)</f>
        <v>Różnica 2025-2024</v>
      </c>
      <c r="J5" s="430" t="str">
        <f ca="1">CONCATENATE("Dynamika"," ",F5,"/",E5)</f>
        <v>Dynamika 2024/2023</v>
      </c>
      <c r="K5" s="430" t="str">
        <f ca="1">CONCATENATE("Dynamika"," ",G5,"/",F5)</f>
        <v>Dynamika 2025/2024</v>
      </c>
      <c r="L5" s="430" t="str">
        <f ca="1">CONCATENATE("Różnica"," ",G5,"-",D5)</f>
        <v>Różnica 2025-2022</v>
      </c>
      <c r="M5" s="430" t="str">
        <f ca="1">CONCATENATE("Dynamika"," ",G5,"/",D5)</f>
        <v>Dynamika 2025/2022</v>
      </c>
    </row>
    <row r="6" spans="3:13" ht="19.5" customHeight="1">
      <c r="C6" s="432" t="s">
        <v>291</v>
      </c>
      <c r="D6" s="433">
        <f>'zestawienie '!N7</f>
        <v>253171.92449999996</v>
      </c>
      <c r="E6" s="433">
        <f>'zestawienie '!O7</f>
        <v>268054</v>
      </c>
      <c r="F6" s="433">
        <f>'zestawienie '!R7</f>
        <v>282634</v>
      </c>
      <c r="G6" s="433">
        <f>'zestawienie '!U7</f>
        <v>303290</v>
      </c>
      <c r="H6" s="434">
        <f>F6-E6</f>
        <v>14580</v>
      </c>
      <c r="I6" s="434">
        <f>G6-F6</f>
        <v>20656</v>
      </c>
      <c r="J6" s="435">
        <f>H6/E6</f>
        <v>5.4392025487401789E-2</v>
      </c>
      <c r="K6" s="435">
        <f>I6/F6</f>
        <v>7.3083917716905963E-2</v>
      </c>
      <c r="L6" s="434">
        <f>G6-D6</f>
        <v>50118.075500000035</v>
      </c>
      <c r="M6" s="435">
        <f>L6/D6</f>
        <v>0.19796063721907697</v>
      </c>
    </row>
    <row r="7" spans="3:13" ht="19.5" customHeight="1">
      <c r="C7" s="432" t="s">
        <v>292</v>
      </c>
      <c r="D7" s="433">
        <f>'zestawienie '!N14</f>
        <v>246665.75237</v>
      </c>
      <c r="E7" s="433">
        <f>'zestawienie '!O14</f>
        <v>262390</v>
      </c>
      <c r="F7" s="433">
        <f>'zestawienie '!R14</f>
        <v>276570</v>
      </c>
      <c r="G7" s="433">
        <f>'zestawienie '!U14</f>
        <v>296975</v>
      </c>
      <c r="H7" s="434">
        <f t="shared" ref="H7:H9" si="0">F7-E7</f>
        <v>14180</v>
      </c>
      <c r="I7" s="434">
        <f t="shared" ref="I7:I9" si="1">G7-F7</f>
        <v>20405</v>
      </c>
      <c r="J7" s="435">
        <f t="shared" ref="J7:J9" si="2">H7/E7</f>
        <v>5.4041693662106025E-2</v>
      </c>
      <c r="K7" s="435">
        <f t="shared" ref="K7:K9" si="3">I7/F7</f>
        <v>7.3778790179701348E-2</v>
      </c>
      <c r="L7" s="434">
        <f t="shared" ref="L7:L9" si="4">G7-D7</f>
        <v>50309.247629999998</v>
      </c>
      <c r="M7" s="435">
        <f t="shared" ref="M7:M9" si="5">L7/D7</f>
        <v>0.20395716530009342</v>
      </c>
    </row>
    <row r="8" spans="3:13" ht="19.5" customHeight="1">
      <c r="C8" s="432" t="s">
        <v>293</v>
      </c>
      <c r="D8" s="433">
        <f>D6-D7</f>
        <v>6506.1721299999626</v>
      </c>
      <c r="E8" s="433">
        <f>E6-E7</f>
        <v>5664</v>
      </c>
      <c r="F8" s="433">
        <f>F6-F7</f>
        <v>6064</v>
      </c>
      <c r="G8" s="433">
        <f>G6-G7</f>
        <v>6315</v>
      </c>
      <c r="H8" s="436">
        <f t="shared" si="0"/>
        <v>400</v>
      </c>
      <c r="I8" s="436">
        <f t="shared" si="1"/>
        <v>251</v>
      </c>
      <c r="J8" s="435">
        <f t="shared" si="2"/>
        <v>7.0621468926553674E-2</v>
      </c>
      <c r="K8" s="435">
        <f t="shared" si="3"/>
        <v>4.1391820580474935E-2</v>
      </c>
      <c r="L8" s="436">
        <f t="shared" si="4"/>
        <v>-191.17212999996264</v>
      </c>
      <c r="M8" s="435">
        <f t="shared" si="5"/>
        <v>-2.9383195860814663E-2</v>
      </c>
    </row>
    <row r="9" spans="3:13" ht="19.5" customHeight="1">
      <c r="C9" s="432" t="s">
        <v>294</v>
      </c>
      <c r="D9" s="433">
        <f>D8+'zestawienie '!N18</f>
        <v>11390.161529999963</v>
      </c>
      <c r="E9" s="433">
        <f>E8+'zestawienie '!O18</f>
        <v>10664</v>
      </c>
      <c r="F9" s="433">
        <f>F8+'zestawienie '!R18</f>
        <v>11564</v>
      </c>
      <c r="G9" s="433">
        <f>G8+'zestawienie '!U18</f>
        <v>12315</v>
      </c>
      <c r="H9" s="436">
        <f t="shared" si="0"/>
        <v>900</v>
      </c>
      <c r="I9" s="436">
        <f t="shared" si="1"/>
        <v>751</v>
      </c>
      <c r="J9" s="435">
        <f t="shared" si="2"/>
        <v>8.4396099024756185E-2</v>
      </c>
      <c r="K9" s="435">
        <f t="shared" si="3"/>
        <v>6.4942926323071595E-2</v>
      </c>
      <c r="L9" s="436">
        <f t="shared" si="4"/>
        <v>924.83847000003698</v>
      </c>
      <c r="M9" s="435">
        <f t="shared" si="5"/>
        <v>8.119625587083662E-2</v>
      </c>
    </row>
    <row r="12" spans="3:13" ht="18">
      <c r="C12" s="430" t="s">
        <v>290</v>
      </c>
      <c r="D12" s="430" t="str">
        <f ca="1">'zestawienie '!$N$3</f>
        <v>2022</v>
      </c>
      <c r="E12" s="430" t="str">
        <f ca="1">'zestawienie '!$O$3</f>
        <v>2023</v>
      </c>
      <c r="F12" s="430" t="str">
        <f ca="1">'zestawienie '!$R$3</f>
        <v>2024</v>
      </c>
      <c r="G12" s="430" t="str">
        <f ca="1">'zestawienie '!$U$3</f>
        <v>2025</v>
      </c>
      <c r="H12" s="430" t="str">
        <f ca="1">CONCATENATE("Różnica"," ",F12,"-",E12)</f>
        <v>Różnica 2024-2023</v>
      </c>
      <c r="I12" s="430" t="str">
        <f ca="1">CONCATENATE("Różnica"," ",G12,"-",F12)</f>
        <v>Różnica 2025-2024</v>
      </c>
      <c r="J12" s="430" t="str">
        <f ca="1">CONCATENATE("Dynamika"," ",F12,"/",E12)</f>
        <v>Dynamika 2024/2023</v>
      </c>
      <c r="K12" s="430" t="str">
        <f ca="1">CONCATENATE("Dynamika"," ",G12,"/",F12)</f>
        <v>Dynamika 2025/2024</v>
      </c>
      <c r="L12" s="430" t="str">
        <f ca="1">CONCATENATE("Różnica"," ",G12,"-",D12)</f>
        <v>Różnica 2025-2022</v>
      </c>
      <c r="M12" s="430" t="str">
        <f ca="1">CONCATENATE("Dynamika"," ",G12,"/",D12)</f>
        <v>Dynamika 2025/2022</v>
      </c>
    </row>
    <row r="13" spans="3:13" ht="18.75" customHeight="1">
      <c r="C13" s="432" t="s">
        <v>296</v>
      </c>
      <c r="D13" s="433">
        <f>'zestawienie '!N4</f>
        <v>237021.62756999998</v>
      </c>
      <c r="E13" s="433">
        <f>'zestawienie '!O4</f>
        <v>261654</v>
      </c>
      <c r="F13" s="433">
        <f>'zestawienie '!R4</f>
        <v>277324</v>
      </c>
      <c r="G13" s="433">
        <f>'zestawienie '!U4</f>
        <v>297580</v>
      </c>
      <c r="H13" s="437">
        <f>F13-E13</f>
        <v>15670</v>
      </c>
      <c r="I13" s="437">
        <f>G13-F13</f>
        <v>20256</v>
      </c>
      <c r="J13" s="435">
        <f t="shared" ref="J13:J16" si="6">H13/E13</f>
        <v>5.9888249367485304E-2</v>
      </c>
      <c r="K13" s="435">
        <f t="shared" ref="K13:K16" si="7">I13/F13</f>
        <v>7.3040919646334246E-2</v>
      </c>
      <c r="L13" s="437">
        <f>G13-D13</f>
        <v>60558.372430000018</v>
      </c>
      <c r="M13" s="435">
        <f>L13/D13</f>
        <v>0.25549724322990403</v>
      </c>
    </row>
    <row r="14" spans="3:13" ht="18.75" customHeight="1">
      <c r="C14" s="432" t="s">
        <v>145</v>
      </c>
      <c r="D14" s="433">
        <f>'zestawienie '!N5</f>
        <v>15638.531230000001</v>
      </c>
      <c r="E14" s="433">
        <f>'zestawienie '!O5</f>
        <v>5790</v>
      </c>
      <c r="F14" s="433">
        <f>'zestawienie '!R5</f>
        <v>4800</v>
      </c>
      <c r="G14" s="433">
        <f>'zestawienie '!U5</f>
        <v>5200</v>
      </c>
      <c r="H14" s="437">
        <f t="shared" ref="H14:H16" si="8">F14-E14</f>
        <v>-990</v>
      </c>
      <c r="I14" s="436">
        <f t="shared" ref="I14:I16" si="9">G14-F14</f>
        <v>400</v>
      </c>
      <c r="J14" s="435">
        <f t="shared" si="6"/>
        <v>-0.17098445595854922</v>
      </c>
      <c r="K14" s="435">
        <f t="shared" si="7"/>
        <v>8.3333333333333329E-2</v>
      </c>
      <c r="L14" s="436">
        <f t="shared" ref="L14:L15" si="10">G14-D14</f>
        <v>-10438.531230000001</v>
      </c>
      <c r="M14" s="435">
        <f t="shared" ref="M14:M15" si="11">L14/D14</f>
        <v>-0.66748795500534996</v>
      </c>
    </row>
    <row r="15" spans="3:13" ht="18.75" customHeight="1">
      <c r="C15" s="432" t="s">
        <v>155</v>
      </c>
      <c r="D15" s="433">
        <f>'zestawienie '!N6</f>
        <v>511.76570000000004</v>
      </c>
      <c r="E15" s="433">
        <f>'zestawienie '!O6</f>
        <v>610</v>
      </c>
      <c r="F15" s="433">
        <f>'zestawienie '!R6</f>
        <v>510</v>
      </c>
      <c r="G15" s="433">
        <f>'zestawienie '!U6</f>
        <v>510</v>
      </c>
      <c r="H15" s="437">
        <f t="shared" si="8"/>
        <v>-100</v>
      </c>
      <c r="I15" s="437">
        <f t="shared" si="9"/>
        <v>0</v>
      </c>
      <c r="J15" s="435">
        <f t="shared" si="6"/>
        <v>-0.16393442622950818</v>
      </c>
      <c r="K15" s="435">
        <f t="shared" si="7"/>
        <v>0</v>
      </c>
      <c r="L15" s="437">
        <f t="shared" si="10"/>
        <v>-1.765700000000038</v>
      </c>
      <c r="M15" s="435">
        <f t="shared" si="11"/>
        <v>-3.4502116886693224E-3</v>
      </c>
    </row>
    <row r="16" spans="3:13">
      <c r="C16" s="430" t="s">
        <v>295</v>
      </c>
      <c r="D16" s="438">
        <f>SUM(D13:D15)</f>
        <v>253171.92449999996</v>
      </c>
      <c r="E16" s="438">
        <f>SUM(E13:E15)</f>
        <v>268054</v>
      </c>
      <c r="F16" s="438">
        <f>SUM(F13:F15)</f>
        <v>282634</v>
      </c>
      <c r="G16" s="438">
        <f>SUM(G13:G15)</f>
        <v>303290</v>
      </c>
      <c r="H16" s="439">
        <f t="shared" si="8"/>
        <v>14580</v>
      </c>
      <c r="I16" s="439">
        <f t="shared" si="9"/>
        <v>20656</v>
      </c>
      <c r="J16" s="440">
        <f t="shared" si="6"/>
        <v>5.4392025487401789E-2</v>
      </c>
      <c r="K16" s="440">
        <f t="shared" si="7"/>
        <v>7.3083917716905963E-2</v>
      </c>
      <c r="L16" s="438">
        <f>G16-D16</f>
        <v>50118.075500000035</v>
      </c>
      <c r="M16" s="440">
        <f t="shared" ref="M16" si="12">L16/D16</f>
        <v>0.19796063721907697</v>
      </c>
    </row>
    <row r="19" spans="3:13" ht="18">
      <c r="C19" s="430" t="s">
        <v>290</v>
      </c>
      <c r="D19" s="430" t="str">
        <f ca="1">'zestawienie '!$N$3</f>
        <v>2022</v>
      </c>
      <c r="E19" s="430" t="str">
        <f ca="1">'zestawienie '!$O$3</f>
        <v>2023</v>
      </c>
      <c r="F19" s="430" t="str">
        <f ca="1">'zestawienie '!$R$3</f>
        <v>2024</v>
      </c>
      <c r="G19" s="430" t="str">
        <f ca="1">'zestawienie '!$U$3</f>
        <v>2025</v>
      </c>
      <c r="H19" s="430" t="str">
        <f ca="1">CONCATENATE("Różnica"," ",F19,"-",E19)</f>
        <v>Różnica 2024-2023</v>
      </c>
      <c r="I19" s="430" t="str">
        <f ca="1">CONCATENATE("Różnica"," ",G19,"-",F19)</f>
        <v>Różnica 2025-2024</v>
      </c>
      <c r="J19" s="430" t="str">
        <f ca="1">CONCATENATE("Dynamika"," ",F19,"/",E19)</f>
        <v>Dynamika 2024/2023</v>
      </c>
      <c r="K19" s="430" t="str">
        <f ca="1">CONCATENATE("Dynamika"," ",G19,"/",F19)</f>
        <v>Dynamika 2025/2024</v>
      </c>
      <c r="L19" s="430" t="str">
        <f ca="1">CONCATENATE("Różnica"," ",G19,"-",D19)</f>
        <v>Różnica 2025-2022</v>
      </c>
      <c r="M19" s="430" t="str">
        <f ca="1">CONCATENATE("Dynamika"," ",G19,"/",D19)</f>
        <v>Dynamika 2025/2022</v>
      </c>
    </row>
    <row r="20" spans="3:13" ht="19.5">
      <c r="C20" s="447" t="s">
        <v>130</v>
      </c>
      <c r="D20" s="433">
        <f>'zestawienie '!N10</f>
        <v>242558.50579</v>
      </c>
      <c r="E20" s="433">
        <f>'zestawienie '!O10</f>
        <v>260250</v>
      </c>
      <c r="F20" s="433">
        <f>'zestawienie '!R10</f>
        <v>274400</v>
      </c>
      <c r="G20" s="433">
        <f>'zestawienie '!U10</f>
        <v>294400</v>
      </c>
      <c r="H20" s="437">
        <f t="shared" ref="H20:H24" si="13">F20-E20</f>
        <v>14150</v>
      </c>
      <c r="I20" s="437">
        <f t="shared" ref="I20:I24" si="14">G20-F20</f>
        <v>20000</v>
      </c>
      <c r="J20" s="435">
        <f t="shared" ref="J20:J24" si="15">H20/E20</f>
        <v>5.4370797310278579E-2</v>
      </c>
      <c r="K20" s="435">
        <f t="shared" ref="K20:K24" si="16">I20/F20</f>
        <v>7.2886297376093298E-2</v>
      </c>
      <c r="L20" s="437">
        <f t="shared" ref="L20:L24" si="17">G20-D20</f>
        <v>51841.494210000004</v>
      </c>
      <c r="M20" s="435">
        <f t="shared" ref="M20:M24" si="18">L20/D20</f>
        <v>0.21372779338805312</v>
      </c>
    </row>
    <row r="21" spans="3:13" ht="19.5">
      <c r="C21" s="447" t="s">
        <v>150</v>
      </c>
      <c r="D21" s="433">
        <f>'zestawienie '!N11</f>
        <v>3625.7117100000005</v>
      </c>
      <c r="E21" s="433">
        <f>'zestawienie '!O11</f>
        <v>2020</v>
      </c>
      <c r="F21" s="433">
        <f>'zestawienie '!R11</f>
        <v>2100</v>
      </c>
      <c r="G21" s="433">
        <f>'zestawienie '!U11</f>
        <v>2500</v>
      </c>
      <c r="H21" s="437">
        <f t="shared" si="13"/>
        <v>80</v>
      </c>
      <c r="I21" s="437">
        <f t="shared" si="14"/>
        <v>400</v>
      </c>
      <c r="J21" s="435">
        <f t="shared" si="15"/>
        <v>3.9603960396039604E-2</v>
      </c>
      <c r="K21" s="435">
        <f t="shared" si="16"/>
        <v>0.19047619047619047</v>
      </c>
      <c r="L21" s="437">
        <f t="shared" si="17"/>
        <v>-1125.7117100000005</v>
      </c>
      <c r="M21" s="435">
        <f t="shared" si="18"/>
        <v>-0.31048020362324957</v>
      </c>
    </row>
    <row r="22" spans="3:13">
      <c r="C22" s="447" t="s">
        <v>162</v>
      </c>
      <c r="D22" s="433">
        <f>'zestawienie '!N12</f>
        <v>173.67186999999998</v>
      </c>
      <c r="E22" s="433">
        <f>'zestawienie '!O12</f>
        <v>120</v>
      </c>
      <c r="F22" s="433">
        <f>'zestawienie '!R12</f>
        <v>70</v>
      </c>
      <c r="G22" s="433">
        <f>'zestawienie '!U12</f>
        <v>75</v>
      </c>
      <c r="H22" s="437">
        <f t="shared" si="13"/>
        <v>-50</v>
      </c>
      <c r="I22" s="437">
        <f t="shared" si="14"/>
        <v>5</v>
      </c>
      <c r="J22" s="435">
        <f t="shared" si="15"/>
        <v>-0.41666666666666669</v>
      </c>
      <c r="K22" s="435">
        <f t="shared" si="16"/>
        <v>7.1428571428571425E-2</v>
      </c>
      <c r="L22" s="437">
        <f t="shared" si="17"/>
        <v>-98.671869999999984</v>
      </c>
      <c r="M22" s="435">
        <f t="shared" si="18"/>
        <v>-0.56815113466561962</v>
      </c>
    </row>
    <row r="23" spans="3:13">
      <c r="C23" s="447" t="s">
        <v>166</v>
      </c>
      <c r="D23" s="433">
        <f>'zestawienie '!N13</f>
        <v>307.863</v>
      </c>
      <c r="E23" s="433">
        <f>'zestawienie '!O13</f>
        <v>0</v>
      </c>
      <c r="F23" s="433">
        <f>'zestawienie '!R13</f>
        <v>0</v>
      </c>
      <c r="G23" s="433">
        <f>'zestawienie '!U13</f>
        <v>0</v>
      </c>
      <c r="H23" s="437">
        <f t="shared" si="13"/>
        <v>0</v>
      </c>
      <c r="I23" s="437">
        <f t="shared" si="14"/>
        <v>0</v>
      </c>
      <c r="J23" s="435" t="e">
        <f t="shared" si="15"/>
        <v>#DIV/0!</v>
      </c>
      <c r="K23" s="435" t="e">
        <f t="shared" si="16"/>
        <v>#DIV/0!</v>
      </c>
      <c r="L23" s="437">
        <f t="shared" si="17"/>
        <v>-307.863</v>
      </c>
      <c r="M23" s="435">
        <f t="shared" si="18"/>
        <v>-1</v>
      </c>
    </row>
    <row r="24" spans="3:13">
      <c r="C24" s="449" t="s">
        <v>295</v>
      </c>
      <c r="D24" s="441">
        <f>SUM(D20:D23)</f>
        <v>246665.75237</v>
      </c>
      <c r="E24" s="441">
        <f>SUM(E20:E23)</f>
        <v>262390</v>
      </c>
      <c r="F24" s="441">
        <f t="shared" ref="F24" si="19">SUM(F20:F23)</f>
        <v>276570</v>
      </c>
      <c r="G24" s="441">
        <f t="shared" ref="G24" si="20">SUM(G20:G23)</f>
        <v>296975</v>
      </c>
      <c r="H24" s="439">
        <f t="shared" si="13"/>
        <v>14180</v>
      </c>
      <c r="I24" s="439">
        <f t="shared" si="14"/>
        <v>20405</v>
      </c>
      <c r="J24" s="440">
        <f t="shared" si="15"/>
        <v>5.4041693662106025E-2</v>
      </c>
      <c r="K24" s="440">
        <f t="shared" si="16"/>
        <v>7.3778790179701348E-2</v>
      </c>
      <c r="L24" s="439">
        <f t="shared" si="17"/>
        <v>50309.247629999998</v>
      </c>
      <c r="M24" s="440">
        <f t="shared" si="18"/>
        <v>0.20395716530009342</v>
      </c>
    </row>
    <row r="25" spans="3:13">
      <c r="H25" s="443"/>
      <c r="I25" s="443"/>
      <c r="J25" s="443"/>
      <c r="K25" s="443"/>
      <c r="L25" s="443"/>
      <c r="M25" s="443"/>
    </row>
    <row r="26" spans="3:13" ht="18">
      <c r="C26" s="430" t="s">
        <v>290</v>
      </c>
      <c r="D26" s="430" t="str">
        <f ca="1">'zestawienie '!$N$3</f>
        <v>2022</v>
      </c>
      <c r="E26" s="430" t="str">
        <f ca="1">'zestawienie '!$O$3</f>
        <v>2023</v>
      </c>
      <c r="F26" s="430" t="str">
        <f ca="1">'zestawienie '!$R$3</f>
        <v>2024</v>
      </c>
      <c r="G26" s="430" t="str">
        <f ca="1">'zestawienie '!$U$3</f>
        <v>2025</v>
      </c>
      <c r="H26" s="430" t="str">
        <f ca="1">CONCATENATE("Różnica"," ",F26,"-",E26)</f>
        <v>Różnica 2024-2023</v>
      </c>
      <c r="I26" s="430" t="str">
        <f ca="1">CONCATENATE("Różnica"," ",G26,"-",F26)</f>
        <v>Różnica 2025-2024</v>
      </c>
      <c r="J26" s="430" t="str">
        <f ca="1">CONCATENATE("Dynamika"," ",F26,"/",E26)</f>
        <v>Dynamika 2024/2023</v>
      </c>
      <c r="K26" s="430" t="str">
        <f ca="1">CONCATENATE("Dynamika"," ",G26,"/",F26)</f>
        <v>Dynamika 2025/2024</v>
      </c>
      <c r="L26" s="430" t="str">
        <f ca="1">CONCATENATE("Różnica"," ",G26,"-",D26)</f>
        <v>Różnica 2025-2022</v>
      </c>
      <c r="M26" s="430" t="str">
        <f ca="1">CONCATENATE("Dynamika"," ",G26,"/",D26)</f>
        <v>Dynamika 2025/2022</v>
      </c>
    </row>
    <row r="27" spans="3:13" ht="29.25">
      <c r="C27" s="444" t="s">
        <v>281</v>
      </c>
      <c r="D27" s="445">
        <f>SUM(D28:D31)</f>
        <v>58168.249699999993</v>
      </c>
      <c r="E27" s="445">
        <f>SUM(E28:E31)</f>
        <v>59898.92882999999</v>
      </c>
      <c r="F27" s="445">
        <f t="shared" ref="F27:I27" si="21">SUM(F28:F31)</f>
        <v>59118.521999999997</v>
      </c>
      <c r="G27" s="445">
        <f t="shared" si="21"/>
        <v>56708.747000000003</v>
      </c>
      <c r="H27" s="445">
        <f t="shared" si="21"/>
        <v>-780.40682999999945</v>
      </c>
      <c r="I27" s="445">
        <f t="shared" si="21"/>
        <v>-2409.7749999999996</v>
      </c>
      <c r="J27" s="446">
        <f t="shared" ref="J27:J31" si="22">H27/E27</f>
        <v>-1.3028727645779498E-2</v>
      </c>
      <c r="K27" s="446">
        <f t="shared" ref="K27:K31" si="23">I27/F27</f>
        <v>-4.0761759910032933E-2</v>
      </c>
      <c r="L27" s="445">
        <f t="shared" ref="L27:L31" si="24">G27-D27</f>
        <v>-1459.50269999999</v>
      </c>
      <c r="M27" s="446">
        <f t="shared" ref="M27" si="25">L27/D27</f>
        <v>-2.5091054097850743E-2</v>
      </c>
    </row>
    <row r="28" spans="3:13">
      <c r="C28" s="447" t="s">
        <v>277</v>
      </c>
      <c r="D28" s="448">
        <f>'zestawienie '!N32</f>
        <v>17244.499989999997</v>
      </c>
      <c r="E28" s="448">
        <f>'zestawienie '!O32</f>
        <v>15950</v>
      </c>
      <c r="F28" s="448">
        <f>'zestawienie '!R32</f>
        <v>16800</v>
      </c>
      <c r="G28" s="448">
        <f>'zestawienie '!U32</f>
        <v>16450</v>
      </c>
      <c r="H28" s="437">
        <f t="shared" ref="H28:H31" si="26">F28-E28</f>
        <v>850</v>
      </c>
      <c r="I28" s="437">
        <f t="shared" ref="I28:I31" si="27">G28-F28</f>
        <v>-350</v>
      </c>
      <c r="J28" s="435">
        <f t="shared" si="22"/>
        <v>5.329153605015674E-2</v>
      </c>
      <c r="K28" s="435">
        <f t="shared" si="23"/>
        <v>-2.0833333333333332E-2</v>
      </c>
      <c r="L28" s="437">
        <f t="shared" si="24"/>
        <v>-794.49998999999661</v>
      </c>
      <c r="M28" s="435">
        <f>IFERROR(L28/D28,"-")</f>
        <v>-4.6072660295208526E-2</v>
      </c>
    </row>
    <row r="29" spans="3:13" ht="19.5">
      <c r="C29" s="447" t="s">
        <v>298</v>
      </c>
      <c r="D29" s="448">
        <f>'zestawienie '!N33</f>
        <v>408.04883000000001</v>
      </c>
      <c r="E29" s="448">
        <f>'zestawienie '!O33</f>
        <v>1851.46</v>
      </c>
      <c r="F29" s="448">
        <f>'zestawienie '!R33</f>
        <v>1537.02</v>
      </c>
      <c r="G29" s="448">
        <f>'zestawienie '!U33</f>
        <v>1183.9000000000001</v>
      </c>
      <c r="H29" s="437">
        <f t="shared" si="26"/>
        <v>-314.44000000000005</v>
      </c>
      <c r="I29" s="437">
        <f t="shared" si="27"/>
        <v>-353.11999999999989</v>
      </c>
      <c r="J29" s="435" t="s">
        <v>297</v>
      </c>
      <c r="K29" s="435" t="s">
        <v>297</v>
      </c>
      <c r="L29" s="437">
        <f t="shared" si="24"/>
        <v>775.85117000000014</v>
      </c>
      <c r="M29" s="435">
        <f t="shared" ref="M29:M31" si="28">IFERROR(L29/D29,"-")</f>
        <v>1.9013684465165606</v>
      </c>
    </row>
    <row r="30" spans="3:13" ht="19.5">
      <c r="C30" s="447" t="s">
        <v>299</v>
      </c>
      <c r="D30" s="448">
        <f>'zestawienie '!N34</f>
        <v>28152.108349999999</v>
      </c>
      <c r="E30" s="448">
        <f>'zestawienie '!O34</f>
        <v>29648.488829999998</v>
      </c>
      <c r="F30" s="448">
        <f>'zestawienie '!R34</f>
        <v>30914.44</v>
      </c>
      <c r="G30" s="448">
        <f>'zestawienie '!U34</f>
        <v>31853.119999999999</v>
      </c>
      <c r="H30" s="437">
        <f t="shared" si="26"/>
        <v>1265.9511700000003</v>
      </c>
      <c r="I30" s="437">
        <f t="shared" si="27"/>
        <v>938.68000000000029</v>
      </c>
      <c r="J30" s="435">
        <f t="shared" si="22"/>
        <v>4.2698674366129584E-2</v>
      </c>
      <c r="K30" s="435">
        <f t="shared" si="23"/>
        <v>3.0363804099314117E-2</v>
      </c>
      <c r="L30" s="437">
        <f t="shared" si="24"/>
        <v>3701.0116500000004</v>
      </c>
      <c r="M30" s="435">
        <f t="shared" si="28"/>
        <v>0.13146481265230001</v>
      </c>
    </row>
    <row r="31" spans="3:13" ht="19.5">
      <c r="C31" s="447" t="s">
        <v>300</v>
      </c>
      <c r="D31" s="448">
        <f>'zestawienie '!N35</f>
        <v>12363.59253</v>
      </c>
      <c r="E31" s="448">
        <f>'zestawienie '!O35</f>
        <v>12448.98</v>
      </c>
      <c r="F31" s="448">
        <f>'zestawienie '!R35</f>
        <v>9867.0619999999999</v>
      </c>
      <c r="G31" s="448">
        <f>'zestawienie '!U35</f>
        <v>7221.7269999999999</v>
      </c>
      <c r="H31" s="437">
        <f t="shared" si="26"/>
        <v>-2581.9179999999997</v>
      </c>
      <c r="I31" s="437">
        <f t="shared" si="27"/>
        <v>-2645.335</v>
      </c>
      <c r="J31" s="435">
        <f t="shared" si="22"/>
        <v>-0.20739996369180444</v>
      </c>
      <c r="K31" s="435">
        <f t="shared" si="23"/>
        <v>-0.26809753501092831</v>
      </c>
      <c r="L31" s="437">
        <f t="shared" si="24"/>
        <v>-5141.86553</v>
      </c>
      <c r="M31" s="435">
        <f t="shared" si="28"/>
        <v>-0.41588765704817354</v>
      </c>
    </row>
    <row r="34" spans="3:13" ht="18">
      <c r="C34" s="430" t="s">
        <v>290</v>
      </c>
      <c r="D34" s="430" t="str">
        <f ca="1">'zestawienie '!$N$3</f>
        <v>2022</v>
      </c>
      <c r="E34" s="430" t="str">
        <f ca="1">'zestawienie '!$O$3</f>
        <v>2023</v>
      </c>
      <c r="F34" s="430" t="str">
        <f ca="1">'zestawienie '!$R$3</f>
        <v>2024</v>
      </c>
      <c r="G34" s="430" t="str">
        <f ca="1">'zestawienie '!$U$3</f>
        <v>2025</v>
      </c>
      <c r="H34" s="430" t="str">
        <f ca="1">CONCATENATE("Różnica"," ",F34,"-",E34)</f>
        <v>Różnica 2024-2023</v>
      </c>
      <c r="I34" s="430" t="str">
        <f ca="1">CONCATENATE("Różnica"," ",G34,"-",F34)</f>
        <v>Różnica 2025-2024</v>
      </c>
      <c r="J34" s="430" t="str">
        <f ca="1">CONCATENATE("Dynamika"," ",F34,"/",E34)</f>
        <v>Dynamika 2024/2023</v>
      </c>
      <c r="K34" s="430" t="str">
        <f ca="1">CONCATENATE("Dynamika"," ",G34,"/",F34)</f>
        <v>Dynamika 2025/2024</v>
      </c>
      <c r="L34" s="430" t="str">
        <f ca="1">CONCATENATE("Różnica"," ",G34,"-",D34)</f>
        <v>Różnica 2025-2022</v>
      </c>
      <c r="M34" s="430" t="str">
        <f ca="1">CONCATENATE("Dynamika"," ",G34,"/",D34)</f>
        <v>Dynamika 2025/2022</v>
      </c>
    </row>
    <row r="35" spans="3:13" ht="19.5" customHeight="1">
      <c r="C35" s="447" t="s">
        <v>136</v>
      </c>
      <c r="D35" s="450">
        <f>'zestawienie '!N23</f>
        <v>93899.636150000006</v>
      </c>
      <c r="E35" s="450">
        <f>'zestawienie '!O23</f>
        <v>102000</v>
      </c>
      <c r="F35" s="450">
        <f>'zestawienie '!R23</f>
        <v>106000</v>
      </c>
      <c r="G35" s="450">
        <f>'zestawienie '!U23</f>
        <v>110000</v>
      </c>
      <c r="H35" s="437">
        <f>F35-E35</f>
        <v>4000</v>
      </c>
      <c r="I35" s="437">
        <f t="shared" ref="I35:I36" si="29">G35-F35</f>
        <v>4000</v>
      </c>
      <c r="J35" s="435">
        <f t="shared" ref="J35:J38" si="30">H35/E35</f>
        <v>3.9215686274509803E-2</v>
      </c>
      <c r="K35" s="435">
        <f t="shared" ref="K35:K38" si="31">I35/F35</f>
        <v>3.7735849056603772E-2</v>
      </c>
      <c r="L35" s="437">
        <f t="shared" ref="L35:L38" si="32">G35-D35</f>
        <v>16100.363849999994</v>
      </c>
      <c r="M35" s="435">
        <f t="shared" ref="M35:M36" si="33">IFERROR(L35/D35,"-")</f>
        <v>0.17146353820030211</v>
      </c>
    </row>
    <row r="36" spans="3:13" ht="29.25">
      <c r="C36" s="447" t="s">
        <v>275</v>
      </c>
      <c r="D36" s="450">
        <f>'zestawienie '!N24</f>
        <v>20268.413629999999</v>
      </c>
      <c r="E36" s="450">
        <f>'zestawienie '!O24</f>
        <v>22000</v>
      </c>
      <c r="F36" s="450">
        <f>'zestawienie '!R24</f>
        <v>23000</v>
      </c>
      <c r="G36" s="450">
        <f>'zestawienie '!U24</f>
        <v>25000</v>
      </c>
      <c r="H36" s="437">
        <f t="shared" ref="H36" si="34">F36-E36</f>
        <v>1000</v>
      </c>
      <c r="I36" s="437">
        <f t="shared" si="29"/>
        <v>2000</v>
      </c>
      <c r="J36" s="435">
        <f t="shared" si="30"/>
        <v>4.5454545454545456E-2</v>
      </c>
      <c r="K36" s="435">
        <f>I36/F36</f>
        <v>8.6956521739130432E-2</v>
      </c>
      <c r="L36" s="437">
        <f t="shared" si="32"/>
        <v>4731.5863700000009</v>
      </c>
      <c r="M36" s="435">
        <f t="shared" si="33"/>
        <v>0.23344630992711793</v>
      </c>
    </row>
    <row r="37" spans="3:13" ht="15" customHeight="1">
      <c r="C37" s="447" t="s">
        <v>133</v>
      </c>
      <c r="D37" s="450">
        <f>'zestawienie '!N20</f>
        <v>105817.07956999999</v>
      </c>
      <c r="E37" s="450">
        <f>'zestawienie '!O20</f>
        <v>112000</v>
      </c>
      <c r="F37" s="450">
        <f>'zestawienie '!R20</f>
        <v>118000</v>
      </c>
      <c r="G37" s="450">
        <f>'zestawienie '!U20</f>
        <v>129000</v>
      </c>
      <c r="H37" s="437">
        <f t="shared" ref="H37" si="35">F37-E37</f>
        <v>6000</v>
      </c>
      <c r="I37" s="437">
        <f t="shared" ref="I37" si="36">G37-F37</f>
        <v>11000</v>
      </c>
      <c r="J37" s="435">
        <f>H37/E37</f>
        <v>5.3571428571428568E-2</v>
      </c>
      <c r="K37" s="435">
        <f>I37/F37</f>
        <v>9.3220338983050849E-2</v>
      </c>
      <c r="L37" s="437">
        <f t="shared" ref="L37" si="37">G37-D37</f>
        <v>23182.920430000013</v>
      </c>
      <c r="M37" s="435">
        <f t="shared" ref="M37" si="38">IFERROR(L37/D37,"-")</f>
        <v>0.21908486346633746</v>
      </c>
    </row>
    <row r="38" spans="3:13" ht="17.25" customHeight="1">
      <c r="C38" s="449" t="s">
        <v>295</v>
      </c>
      <c r="D38" s="441">
        <f>SUM(D35:D37)</f>
        <v>219985.12935</v>
      </c>
      <c r="E38" s="441">
        <f t="shared" ref="E38:I38" si="39">SUM(E35:E37)</f>
        <v>236000</v>
      </c>
      <c r="F38" s="441">
        <f t="shared" si="39"/>
        <v>247000</v>
      </c>
      <c r="G38" s="441">
        <f t="shared" si="39"/>
        <v>264000</v>
      </c>
      <c r="H38" s="441">
        <f t="shared" si="39"/>
        <v>11000</v>
      </c>
      <c r="I38" s="441">
        <f t="shared" si="39"/>
        <v>17000</v>
      </c>
      <c r="J38" s="440">
        <f t="shared" si="30"/>
        <v>4.6610169491525424E-2</v>
      </c>
      <c r="K38" s="440">
        <f t="shared" si="31"/>
        <v>6.8825910931174086E-2</v>
      </c>
      <c r="L38" s="439">
        <f t="shared" si="32"/>
        <v>44014.870649999997</v>
      </c>
      <c r="M38" s="440">
        <f t="shared" ref="M38" si="40">L38/D38</f>
        <v>0.20008111811945073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3"/>
  <sheetViews>
    <sheetView zoomScale="60" zoomScaleNormal="60" workbookViewId="0">
      <pane ySplit="4" topLeftCell="A23" activePane="bottomLeft" state="frozen"/>
      <selection activeCell="O44" sqref="O44"/>
      <selection pane="bottomLeft" activeCell="D1" sqref="D1"/>
    </sheetView>
  </sheetViews>
  <sheetFormatPr defaultRowHeight="15"/>
  <cols>
    <col min="1" max="1" width="59.28515625" style="75" customWidth="1"/>
    <col min="2" max="2" width="21.85546875" style="148" customWidth="1"/>
    <col min="3" max="3" width="16.42578125" style="75" customWidth="1"/>
    <col min="4" max="4" width="12.42578125" customWidth="1"/>
    <col min="5" max="5" width="12.28515625" style="42" customWidth="1"/>
  </cols>
  <sheetData>
    <row r="1" spans="1:13" s="518" customFormat="1">
      <c r="A1" s="537"/>
      <c r="B1" s="538"/>
      <c r="C1" s="537"/>
      <c r="D1" s="518" t="s">
        <v>328</v>
      </c>
      <c r="E1" s="534"/>
    </row>
    <row r="2" spans="1:13" s="518" customFormat="1" ht="15.75" thickBot="1">
      <c r="A2" s="537"/>
      <c r="B2" s="538"/>
      <c r="C2" s="537"/>
      <c r="E2" s="534"/>
    </row>
    <row r="3" spans="1:13" ht="36.75" customHeight="1" thickBot="1">
      <c r="A3" s="712" t="str">
        <f ca="1">RIGHT(CELL("nazwa_pliku",A1),31)</f>
        <v>Analiza wskaźnikowa za 2022 rok</v>
      </c>
      <c r="B3" s="713"/>
      <c r="C3" s="713"/>
      <c r="D3" s="713"/>
      <c r="E3" s="714"/>
    </row>
    <row r="4" spans="1:13" ht="15.75" thickBot="1">
      <c r="A4" s="129" t="s">
        <v>185</v>
      </c>
      <c r="B4" s="715" t="s">
        <v>213</v>
      </c>
      <c r="C4" s="715"/>
      <c r="D4" s="130" t="s">
        <v>186</v>
      </c>
      <c r="E4" s="131" t="s">
        <v>187</v>
      </c>
    </row>
    <row r="6" spans="1:13">
      <c r="A6" s="98" t="s">
        <v>180</v>
      </c>
      <c r="B6" s="139"/>
      <c r="C6" s="98"/>
      <c r="D6" s="108"/>
      <c r="E6" s="132">
        <f>E8+E13+E18</f>
        <v>12</v>
      </c>
    </row>
    <row r="7" spans="1:13">
      <c r="A7" s="102"/>
      <c r="B7" s="140"/>
      <c r="C7" s="100"/>
      <c r="D7" s="101"/>
      <c r="E7" s="133"/>
      <c r="M7" s="296"/>
    </row>
    <row r="8" spans="1:13" ht="15" customHeight="1">
      <c r="A8" s="705" t="s">
        <v>252</v>
      </c>
      <c r="B8" s="141" t="s">
        <v>210</v>
      </c>
      <c r="C8" s="111">
        <v>0</v>
      </c>
      <c r="D8" s="708">
        <f>ROUND(('RZiS 2022'!D58)/('RZiS 2022'!D10+'RZiS 2022'!D13+'RZiS 2022'!D26+'RZiS 2022'!D36),4)</f>
        <v>2.5600000000000001E-2</v>
      </c>
      <c r="E8" s="709">
        <f>IF(D8&lt;0%,0,IF(AND(D8&gt;=0%,D8&lt;=2%),3,IF(AND(D8&gt;2%,D8&lt;=4%),4,5)))</f>
        <v>4</v>
      </c>
    </row>
    <row r="9" spans="1:13">
      <c r="A9" s="706"/>
      <c r="B9" s="141" t="s">
        <v>211</v>
      </c>
      <c r="C9" s="111">
        <v>3</v>
      </c>
      <c r="D9" s="708"/>
      <c r="E9" s="710"/>
    </row>
    <row r="10" spans="1:13">
      <c r="A10" s="706"/>
      <c r="B10" s="141" t="s">
        <v>235</v>
      </c>
      <c r="C10" s="111">
        <v>4</v>
      </c>
      <c r="D10" s="708"/>
      <c r="E10" s="710"/>
    </row>
    <row r="11" spans="1:13">
      <c r="A11" s="707"/>
      <c r="B11" s="141" t="s">
        <v>212</v>
      </c>
      <c r="C11" s="111">
        <v>5</v>
      </c>
      <c r="D11" s="708"/>
      <c r="E11" s="711"/>
    </row>
    <row r="12" spans="1:13">
      <c r="A12" s="99"/>
      <c r="B12" s="205"/>
      <c r="C12" s="206"/>
      <c r="D12" s="531"/>
      <c r="E12" s="128"/>
    </row>
    <row r="13" spans="1:13" ht="18.75" customHeight="1">
      <c r="A13" s="705" t="s">
        <v>246</v>
      </c>
      <c r="B13" s="141" t="s">
        <v>210</v>
      </c>
      <c r="C13" s="111">
        <v>0</v>
      </c>
      <c r="D13" s="708">
        <f>ROUND(('RZiS 2022'!D35)/('RZiS 2022'!D10+'RZiS 2022'!D13+'RZiS 2022'!D26),4)</f>
        <v>2.5499999999999998E-2</v>
      </c>
      <c r="E13" s="709">
        <f>IF(D13&lt;0%,0,IF(AND(D13&gt;=0%,D13&lt;=3%),3,IF(AND(D13&gt;3%,D13&lt;5%),4,5)))</f>
        <v>3</v>
      </c>
    </row>
    <row r="14" spans="1:13" ht="18.75" customHeight="1">
      <c r="A14" s="706"/>
      <c r="B14" s="141" t="s">
        <v>214</v>
      </c>
      <c r="C14" s="111">
        <v>3</v>
      </c>
      <c r="D14" s="708"/>
      <c r="E14" s="710"/>
    </row>
    <row r="15" spans="1:13" ht="18.75" customHeight="1">
      <c r="A15" s="706"/>
      <c r="B15" s="141" t="s">
        <v>236</v>
      </c>
      <c r="C15" s="111">
        <v>4</v>
      </c>
      <c r="D15" s="708"/>
      <c r="E15" s="710"/>
    </row>
    <row r="16" spans="1:13" ht="18.75" customHeight="1">
      <c r="A16" s="707"/>
      <c r="B16" s="141" t="s">
        <v>215</v>
      </c>
      <c r="C16" s="111">
        <v>5</v>
      </c>
      <c r="D16" s="708"/>
      <c r="E16" s="711"/>
    </row>
    <row r="17" spans="1:9">
      <c r="A17" s="81"/>
      <c r="B17" s="142"/>
      <c r="C17" s="104"/>
      <c r="D17" s="137"/>
      <c r="E17" s="134"/>
    </row>
    <row r="18" spans="1:9" ht="18.75" customHeight="1">
      <c r="A18" s="705" t="s">
        <v>251</v>
      </c>
      <c r="B18" s="141" t="s">
        <v>210</v>
      </c>
      <c r="C18" s="111">
        <v>0</v>
      </c>
      <c r="D18" s="716">
        <f>ROUND(('RZiS 2022'!D58)/(('BILANS 2022'!C95+'BILANS 2022'!D95)/2),4)</f>
        <v>8.4599999999999995E-2</v>
      </c>
      <c r="E18" s="709">
        <f>IF(D18&lt;0%,0,IF(AND(D18&gt;=0%,D18&lt;=2%),3,IF(AND(D18&gt;2%,D18&lt;4%),4,5)))</f>
        <v>5</v>
      </c>
    </row>
    <row r="19" spans="1:9">
      <c r="A19" s="706"/>
      <c r="B19" s="141" t="s">
        <v>211</v>
      </c>
      <c r="C19" s="111">
        <v>3</v>
      </c>
      <c r="D19" s="717"/>
      <c r="E19" s="710"/>
    </row>
    <row r="20" spans="1:9">
      <c r="A20" s="706"/>
      <c r="B20" s="141" t="s">
        <v>235</v>
      </c>
      <c r="C20" s="111">
        <v>4</v>
      </c>
      <c r="D20" s="717"/>
      <c r="E20" s="710"/>
    </row>
    <row r="21" spans="1:9">
      <c r="A21" s="707"/>
      <c r="B21" s="141" t="s">
        <v>212</v>
      </c>
      <c r="C21" s="111">
        <v>5</v>
      </c>
      <c r="D21" s="718"/>
      <c r="E21" s="711"/>
    </row>
    <row r="22" spans="1:9">
      <c r="A22" s="81"/>
      <c r="B22" s="146"/>
      <c r="C22" s="110"/>
      <c r="D22" s="149"/>
      <c r="E22" s="134"/>
    </row>
    <row r="23" spans="1:9">
      <c r="A23" s="103" t="s">
        <v>181</v>
      </c>
      <c r="B23" s="144"/>
      <c r="C23" s="109"/>
      <c r="D23" s="108"/>
      <c r="E23" s="132">
        <f>E25+E31</f>
        <v>21</v>
      </c>
    </row>
    <row r="24" spans="1:9">
      <c r="A24" s="81"/>
      <c r="B24" s="142"/>
      <c r="C24" s="104"/>
      <c r="D24" s="76"/>
      <c r="E24" s="134"/>
    </row>
    <row r="25" spans="1:9" ht="18.75" customHeight="1">
      <c r="A25" s="719" t="s">
        <v>245</v>
      </c>
      <c r="B25" s="141" t="s">
        <v>216</v>
      </c>
      <c r="C25" s="199">
        <v>0</v>
      </c>
      <c r="D25" s="722">
        <f>ROUND(('BILANS 2022'!D50-'BILANS 2022'!D61-'BILANS 2022'!D92)/('BILANS 2022'!K38-'BILANS 2022'!K47+'BILANS 2022'!K25+'BILANS 2022'!K28),2)</f>
        <v>1.49</v>
      </c>
      <c r="E25" s="709">
        <f>IF(D25&lt;0.6,0,IF(AND(D25&gt;=0.6,D25&lt;=1),4,IF(AND(D25&gt;1,D25&lt;=1.5),8,IF(AND(D25&gt;1.5,D25&lt;=3),12,10))))</f>
        <v>8</v>
      </c>
    </row>
    <row r="26" spans="1:9" ht="18" customHeight="1">
      <c r="A26" s="720"/>
      <c r="B26" s="141" t="s">
        <v>217</v>
      </c>
      <c r="C26" s="199">
        <v>4</v>
      </c>
      <c r="D26" s="723"/>
      <c r="E26" s="710"/>
    </row>
    <row r="27" spans="1:9" ht="18" customHeight="1">
      <c r="A27" s="720"/>
      <c r="B27" s="141" t="s">
        <v>237</v>
      </c>
      <c r="C27" s="199">
        <v>8</v>
      </c>
      <c r="D27" s="723"/>
      <c r="E27" s="710"/>
    </row>
    <row r="28" spans="1:9" ht="18" customHeight="1">
      <c r="A28" s="720"/>
      <c r="B28" s="141" t="s">
        <v>238</v>
      </c>
      <c r="C28" s="199">
        <v>12</v>
      </c>
      <c r="D28" s="723"/>
      <c r="E28" s="710"/>
    </row>
    <row r="29" spans="1:9" ht="45" customHeight="1">
      <c r="A29" s="721"/>
      <c r="B29" s="201" t="s">
        <v>218</v>
      </c>
      <c r="C29" s="111">
        <v>10</v>
      </c>
      <c r="D29" s="724"/>
      <c r="E29" s="711"/>
    </row>
    <row r="30" spans="1:9" ht="16.5" customHeight="1">
      <c r="A30" s="81"/>
      <c r="B30" s="146"/>
      <c r="C30" s="110"/>
      <c r="D30" s="269"/>
      <c r="E30" s="134"/>
    </row>
    <row r="31" spans="1:9" ht="23.25" customHeight="1">
      <c r="A31" s="719" t="s">
        <v>242</v>
      </c>
      <c r="B31" s="143" t="s">
        <v>219</v>
      </c>
      <c r="C31" s="200">
        <v>0</v>
      </c>
      <c r="D31" s="722">
        <f>ROUND(('BILANS 2022'!D50-'BILANS 2022'!D61-'BILANS 2022'!D66-'BILANS 2022'!D71-'BILANS 2022'!D92-'BILANS 2022'!D51)/('BILANS 2022'!K38-'BILANS 2022'!K42-'BILANS 2022'!K47-'BILANS 2022'!K55+'BILANS 2022'!K25+'BILANS 2022'!K28),2)</f>
        <v>1.47</v>
      </c>
      <c r="E31" s="709">
        <f>IF(D31&lt;0.5,0,IF(AND(D31&gt;=0.5,D31&lt;=1),8,IF(AND(D31&gt;1,D31&lt;=2.5),13,10)))</f>
        <v>13</v>
      </c>
    </row>
    <row r="32" spans="1:9" ht="23.25" customHeight="1">
      <c r="A32" s="720"/>
      <c r="B32" s="141" t="s">
        <v>220</v>
      </c>
      <c r="C32" s="199">
        <v>8</v>
      </c>
      <c r="D32" s="723"/>
      <c r="E32" s="710"/>
      <c r="I32" t="s">
        <v>241</v>
      </c>
    </row>
    <row r="33" spans="1:8" ht="25.5" customHeight="1">
      <c r="A33" s="720"/>
      <c r="B33" s="141" t="s">
        <v>239</v>
      </c>
      <c r="C33" s="199">
        <v>13</v>
      </c>
      <c r="D33" s="723"/>
      <c r="E33" s="710"/>
    </row>
    <row r="34" spans="1:8" ht="47.25" customHeight="1">
      <c r="A34" s="721"/>
      <c r="B34" s="201" t="s">
        <v>221</v>
      </c>
      <c r="C34" s="111">
        <v>10</v>
      </c>
      <c r="D34" s="724"/>
      <c r="E34" s="711"/>
      <c r="H34" s="106"/>
    </row>
    <row r="35" spans="1:8">
      <c r="A35" s="81"/>
      <c r="B35" s="146"/>
      <c r="C35" s="110"/>
      <c r="D35" s="76"/>
      <c r="E35" s="134"/>
    </row>
    <row r="36" spans="1:8" ht="30">
      <c r="A36" s="98" t="s">
        <v>183</v>
      </c>
      <c r="B36" s="144"/>
      <c r="C36" s="109"/>
      <c r="D36" s="108"/>
      <c r="E36" s="132">
        <f>E38+E43</f>
        <v>10</v>
      </c>
    </row>
    <row r="37" spans="1:8">
      <c r="A37" s="80"/>
      <c r="B37" s="145"/>
      <c r="C37" s="105"/>
      <c r="D37" s="76"/>
      <c r="E37" s="135"/>
    </row>
    <row r="38" spans="1:8" ht="18.75" customHeight="1">
      <c r="A38" s="719" t="s">
        <v>253</v>
      </c>
      <c r="B38" s="141" t="s">
        <v>222</v>
      </c>
      <c r="C38" s="111">
        <v>3</v>
      </c>
      <c r="D38" s="725">
        <f>ROUND(((('BILANS 2022'!C59+'BILANS 2022'!C64+'BILANS 2022'!C69+'BILANS 2022'!D59+'BILANS 2022'!D64+'BILANS 2022'!D69)/2)*365)/('RZiS 2022'!D10+'RZiS 2022'!D13),2)</f>
        <v>5.83</v>
      </c>
      <c r="E38" s="726">
        <f>IF(D38&lt;45,3,IF(AND(D38&gt;=45,D38&lt;60.5),2,IF(AND(D38&gt;=60.5,D38&lt;=90),1,0)))</f>
        <v>3</v>
      </c>
    </row>
    <row r="39" spans="1:8" ht="18.75" customHeight="1">
      <c r="A39" s="720"/>
      <c r="B39" s="141" t="s">
        <v>223</v>
      </c>
      <c r="C39" s="111">
        <v>2</v>
      </c>
      <c r="D39" s="725"/>
      <c r="E39" s="727"/>
    </row>
    <row r="40" spans="1:8" ht="18.75" customHeight="1">
      <c r="A40" s="720"/>
      <c r="B40" s="141" t="s">
        <v>224</v>
      </c>
      <c r="C40" s="111">
        <v>1</v>
      </c>
      <c r="D40" s="725"/>
      <c r="E40" s="727"/>
    </row>
    <row r="41" spans="1:8" ht="18.75" customHeight="1">
      <c r="A41" s="721"/>
      <c r="B41" s="201" t="s">
        <v>225</v>
      </c>
      <c r="C41" s="111">
        <v>0</v>
      </c>
      <c r="D41" s="725"/>
      <c r="E41" s="728"/>
    </row>
    <row r="42" spans="1:8">
      <c r="A42" s="107"/>
      <c r="B42" s="202"/>
      <c r="C42" s="203"/>
      <c r="D42" s="204"/>
      <c r="E42" s="134"/>
    </row>
    <row r="43" spans="1:8" ht="24" customHeight="1">
      <c r="A43" s="719" t="s">
        <v>254</v>
      </c>
      <c r="B43" s="141" t="s">
        <v>226</v>
      </c>
      <c r="C43" s="111">
        <v>7</v>
      </c>
      <c r="D43" s="731">
        <f>ROUND((('BILANS 2022'!J40+'BILANS 2022'!K40+'BILANS 2022'!J45+'BILANS 2022'!K45+'BILANS 2022'!J53+'BILANS 2022'!K53)/2)*365/('RZiS 2022'!D10+'RZiS 2022'!D13),2)</f>
        <v>9.8699999999999992</v>
      </c>
      <c r="E43" s="709">
        <f>IF(D43&lt;60.5,7,IF(AND(D43&gt;=60.5,D43&lt;=90),4,0))</f>
        <v>7</v>
      </c>
    </row>
    <row r="44" spans="1:8" ht="21.75" customHeight="1">
      <c r="A44" s="720"/>
      <c r="B44" s="141" t="s">
        <v>224</v>
      </c>
      <c r="C44" s="111">
        <v>4</v>
      </c>
      <c r="D44" s="732"/>
      <c r="E44" s="710"/>
    </row>
    <row r="45" spans="1:8" ht="27" customHeight="1">
      <c r="A45" s="721"/>
      <c r="B45" s="141" t="s">
        <v>225</v>
      </c>
      <c r="C45" s="111">
        <v>0</v>
      </c>
      <c r="D45" s="733"/>
      <c r="E45" s="711"/>
    </row>
    <row r="46" spans="1:8">
      <c r="A46" s="81"/>
      <c r="B46" s="146"/>
      <c r="C46" s="110"/>
      <c r="D46" s="76"/>
      <c r="E46" s="134"/>
    </row>
    <row r="47" spans="1:8">
      <c r="A47" s="98" t="s">
        <v>184</v>
      </c>
      <c r="B47" s="144"/>
      <c r="C47" s="109"/>
      <c r="D47" s="108"/>
      <c r="E47" s="132">
        <f>E49+E54</f>
        <v>12</v>
      </c>
    </row>
    <row r="48" spans="1:8">
      <c r="A48" s="81"/>
      <c r="B48" s="142"/>
      <c r="C48" s="104"/>
      <c r="D48" s="76"/>
      <c r="E48" s="134"/>
    </row>
    <row r="49" spans="1:5" ht="18.75" customHeight="1">
      <c r="A49" s="719" t="s">
        <v>243</v>
      </c>
      <c r="B49" s="112" t="s">
        <v>227</v>
      </c>
      <c r="C49" s="111">
        <v>10</v>
      </c>
      <c r="D49" s="734">
        <f>ROUND(('BILANS 2022'!K38+'BILANS 2022'!K29+'BILANS 2022'!K21)/'BILANS 2022'!D95,4)</f>
        <v>0.56679999999999997</v>
      </c>
      <c r="E49" s="709">
        <f>IF(D49&lt;40%,10,IF(AND(D49&gt;=40%,D49&lt;=60%),8,IF(AND(D49&gt;60%,D49&lt;=80%),3,0)))</f>
        <v>8</v>
      </c>
    </row>
    <row r="50" spans="1:5">
      <c r="A50" s="720"/>
      <c r="B50" s="112" t="s">
        <v>228</v>
      </c>
      <c r="C50" s="111">
        <v>8</v>
      </c>
      <c r="D50" s="735"/>
      <c r="E50" s="710"/>
    </row>
    <row r="51" spans="1:5">
      <c r="A51" s="720"/>
      <c r="B51" s="112" t="s">
        <v>240</v>
      </c>
      <c r="C51" s="111">
        <v>3</v>
      </c>
      <c r="D51" s="735"/>
      <c r="E51" s="710"/>
    </row>
    <row r="52" spans="1:5">
      <c r="A52" s="721"/>
      <c r="B52" s="112" t="s">
        <v>229</v>
      </c>
      <c r="C52" s="111">
        <v>0</v>
      </c>
      <c r="D52" s="736"/>
      <c r="E52" s="711"/>
    </row>
    <row r="53" spans="1:5">
      <c r="A53" s="81"/>
      <c r="B53" s="146"/>
      <c r="C53" s="110"/>
      <c r="D53" s="138"/>
      <c r="E53" s="134"/>
    </row>
    <row r="54" spans="1:5" ht="19.5" customHeight="1">
      <c r="A54" s="719" t="s">
        <v>244</v>
      </c>
      <c r="B54" s="141" t="s">
        <v>230</v>
      </c>
      <c r="C54" s="111">
        <v>10</v>
      </c>
      <c r="D54" s="729">
        <f>ROUND(('BILANS 2022'!K21+'BILANS 2022'!K29+'BILANS 2022'!K38)/('BILANS 2022'!K8),2)</f>
        <v>2.02</v>
      </c>
      <c r="E54" s="709">
        <f>IF(AND(D54&gt;=0,D54&lt;=0.505),10,IF(AND(D54&gt;0.505,D54&lt;=1),8,IF(AND(D54&gt;1,D54&lt;=2),6,IF(AND(D54&gt;2,D54&lt;=4),4,0))))</f>
        <v>4</v>
      </c>
    </row>
    <row r="55" spans="1:5">
      <c r="A55" s="720"/>
      <c r="B55" s="141" t="s">
        <v>231</v>
      </c>
      <c r="C55" s="111">
        <v>8</v>
      </c>
      <c r="D55" s="729"/>
      <c r="E55" s="710"/>
    </row>
    <row r="56" spans="1:5">
      <c r="A56" s="720"/>
      <c r="B56" s="141" t="s">
        <v>232</v>
      </c>
      <c r="C56" s="111">
        <v>6</v>
      </c>
      <c r="D56" s="729"/>
      <c r="E56" s="710"/>
    </row>
    <row r="57" spans="1:5">
      <c r="A57" s="720"/>
      <c r="B57" s="141" t="s">
        <v>233</v>
      </c>
      <c r="C57" s="111">
        <v>4</v>
      </c>
      <c r="D57" s="729"/>
      <c r="E57" s="710"/>
    </row>
    <row r="58" spans="1:5" ht="25.5">
      <c r="A58" s="721"/>
      <c r="B58" s="201" t="s">
        <v>234</v>
      </c>
      <c r="C58" s="111">
        <v>0</v>
      </c>
      <c r="D58" s="729"/>
      <c r="E58" s="711"/>
    </row>
    <row r="59" spans="1:5">
      <c r="A59" s="81"/>
      <c r="B59" s="146"/>
      <c r="C59" s="110"/>
      <c r="D59" s="149"/>
      <c r="E59" s="134"/>
    </row>
    <row r="60" spans="1:5" ht="24.75" customHeight="1">
      <c r="A60" s="125" t="s">
        <v>188</v>
      </c>
      <c r="B60" s="147"/>
      <c r="C60" s="126"/>
      <c r="D60" s="127"/>
      <c r="E60" s="136">
        <f>E6+E23+E36+E47</f>
        <v>55</v>
      </c>
    </row>
    <row r="63" spans="1:5" ht="29.25" customHeight="1">
      <c r="A63" s="730" t="s">
        <v>303</v>
      </c>
      <c r="B63" s="730"/>
      <c r="C63" s="730"/>
      <c r="D63" s="730"/>
      <c r="E63" s="730"/>
    </row>
  </sheetData>
  <sheetProtection algorithmName="SHA-512" hashValue="w4ZR9Ln2Zaf2EjQbPQAS8GPmhMCF5nIOcREB+EfrpL7APWXUq0unW/QDZWXdIKPIOa2u7fHCSOREtR+oUxETwA==" saltValue="zdOw0j+DG9jFRFagpdqUsg==" spinCount="100000" sheet="1" formatCells="0" formatColumns="0" formatRows="0"/>
  <mergeCells count="30">
    <mergeCell ref="A54:A58"/>
    <mergeCell ref="D54:D58"/>
    <mergeCell ref="E54:E58"/>
    <mergeCell ref="A63:E63"/>
    <mergeCell ref="A43:A45"/>
    <mergeCell ref="D43:D45"/>
    <mergeCell ref="E43:E45"/>
    <mergeCell ref="A49:A52"/>
    <mergeCell ref="D49:D52"/>
    <mergeCell ref="E49:E52"/>
    <mergeCell ref="A31:A34"/>
    <mergeCell ref="D31:D34"/>
    <mergeCell ref="E31:E34"/>
    <mergeCell ref="A38:A41"/>
    <mergeCell ref="D38:D41"/>
    <mergeCell ref="E38:E41"/>
    <mergeCell ref="A18:A21"/>
    <mergeCell ref="D18:D21"/>
    <mergeCell ref="E18:E21"/>
    <mergeCell ref="A25:A29"/>
    <mergeCell ref="D25:D29"/>
    <mergeCell ref="E25:E29"/>
    <mergeCell ref="A13:A16"/>
    <mergeCell ref="D13:D16"/>
    <mergeCell ref="E13:E16"/>
    <mergeCell ref="A3:E3"/>
    <mergeCell ref="B4:C4"/>
    <mergeCell ref="A8:A11"/>
    <mergeCell ref="D8:D11"/>
    <mergeCell ref="E8:E11"/>
  </mergeCells>
  <printOptions horizontalCentered="1"/>
  <pageMargins left="0.70866141732283472" right="0.70866141732283472" top="0.63" bottom="0.74803149606299213" header="0.31496062992125984" footer="0.31496062992125984"/>
  <pageSetup paperSize="9" scale="69" orientation="portrait" r:id="rId1"/>
  <rowBreaks count="1" manualBreakCount="1">
    <brk id="60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A1:M120"/>
  <sheetViews>
    <sheetView view="pageBreakPreview" zoomScaleNormal="70" zoomScaleSheetLayoutView="100" workbookViewId="0">
      <pane ySplit="7" topLeftCell="A68" activePane="bottomLeft" state="frozen"/>
      <selection activeCell="J39" sqref="J39"/>
      <selection pane="bottomLeft" activeCell="L1" sqref="L1"/>
    </sheetView>
  </sheetViews>
  <sheetFormatPr defaultColWidth="9.140625" defaultRowHeight="15"/>
  <cols>
    <col min="1" max="1" width="4.140625" style="221" customWidth="1"/>
    <col min="2" max="2" width="47.42578125" customWidth="1"/>
    <col min="3" max="3" width="15.85546875" bestFit="1" customWidth="1"/>
    <col min="4" max="6" width="16.42578125" customWidth="1"/>
    <col min="7" max="7" width="1.28515625" customWidth="1"/>
    <col min="8" max="8" width="4.5703125" style="221" customWidth="1"/>
    <col min="9" max="9" width="49.5703125" customWidth="1"/>
    <col min="10" max="11" width="16.5703125" bestFit="1" customWidth="1"/>
    <col min="12" max="12" width="15.28515625" style="42" customWidth="1"/>
    <col min="13" max="13" width="10.42578125" style="42" customWidth="1"/>
  </cols>
  <sheetData>
    <row r="1" spans="1:13" s="518" customFormat="1">
      <c r="A1" s="532"/>
      <c r="B1" s="533"/>
      <c r="C1" s="533"/>
      <c r="D1" s="533"/>
      <c r="F1" s="518" t="s">
        <v>329</v>
      </c>
      <c r="G1" s="533"/>
      <c r="H1" s="532"/>
      <c r="I1" s="533"/>
      <c r="J1" s="533"/>
      <c r="K1" s="533"/>
      <c r="L1" s="518" t="s">
        <v>330</v>
      </c>
      <c r="M1" s="534"/>
    </row>
    <row r="2" spans="1:13" s="518" customFormat="1">
      <c r="A2" s="532"/>
      <c r="B2" s="535" t="s">
        <v>0</v>
      </c>
      <c r="C2" s="533"/>
      <c r="D2" s="533"/>
      <c r="E2" s="533"/>
      <c r="F2" s="533"/>
      <c r="G2" s="533"/>
      <c r="H2" s="532"/>
      <c r="I2" s="535" t="s">
        <v>0</v>
      </c>
      <c r="J2" s="533"/>
      <c r="K2" s="533"/>
      <c r="L2" s="534"/>
      <c r="M2" s="534"/>
    </row>
    <row r="3" spans="1:13">
      <c r="A3" s="152"/>
      <c r="B3" s="4" t="s">
        <v>1</v>
      </c>
      <c r="C3" s="2"/>
      <c r="D3" s="2"/>
      <c r="E3" s="2"/>
      <c r="F3" s="2"/>
      <c r="G3" s="2"/>
      <c r="H3" s="152"/>
      <c r="I3" s="4" t="s">
        <v>1</v>
      </c>
      <c r="J3" s="2"/>
      <c r="K3" s="2"/>
    </row>
    <row r="4" spans="1:13" ht="15.75" customHeight="1" thickBot="1">
      <c r="A4" s="454"/>
      <c r="B4" s="451" t="s">
        <v>302</v>
      </c>
      <c r="C4" s="687" t="s">
        <v>205</v>
      </c>
      <c r="D4" s="687"/>
      <c r="E4" s="225"/>
      <c r="F4" s="225"/>
      <c r="G4" s="225"/>
      <c r="H4" s="225"/>
      <c r="I4" s="451" t="s">
        <v>302</v>
      </c>
      <c r="J4" s="687" t="s">
        <v>205</v>
      </c>
      <c r="K4" s="687"/>
    </row>
    <row r="5" spans="1:13" ht="15.75" thickBot="1">
      <c r="A5" s="152"/>
      <c r="B5" s="2"/>
      <c r="C5" s="2"/>
      <c r="D5" s="2"/>
      <c r="E5" s="2"/>
      <c r="F5" s="2"/>
      <c r="G5" s="2"/>
      <c r="H5" s="152"/>
      <c r="I5" s="2"/>
    </row>
    <row r="6" spans="1:13">
      <c r="A6" s="688"/>
      <c r="B6" s="691" t="s">
        <v>2</v>
      </c>
      <c r="C6" s="693" t="s">
        <v>3</v>
      </c>
      <c r="D6" s="698"/>
      <c r="E6" s="693" t="s">
        <v>208</v>
      </c>
      <c r="F6" s="695" t="s">
        <v>209</v>
      </c>
      <c r="G6" s="225"/>
      <c r="H6" s="688"/>
      <c r="I6" s="689" t="s">
        <v>4</v>
      </c>
      <c r="J6" s="691" t="s">
        <v>3</v>
      </c>
      <c r="K6" s="692"/>
      <c r="L6" s="693" t="s">
        <v>208</v>
      </c>
      <c r="M6" s="695" t="s">
        <v>209</v>
      </c>
    </row>
    <row r="7" spans="1:13" s="75" customFormat="1" ht="30.75" thickBot="1">
      <c r="A7" s="688"/>
      <c r="B7" s="697"/>
      <c r="C7" s="459" t="s">
        <v>314</v>
      </c>
      <c r="D7" s="459" t="s">
        <v>315</v>
      </c>
      <c r="E7" s="699"/>
      <c r="F7" s="700"/>
      <c r="G7" s="455"/>
      <c r="H7" s="688"/>
      <c r="I7" s="690"/>
      <c r="J7" s="459" t="s">
        <v>314</v>
      </c>
      <c r="K7" s="459" t="s">
        <v>315</v>
      </c>
      <c r="L7" s="694"/>
      <c r="M7" s="696"/>
    </row>
    <row r="8" spans="1:13" ht="15.75" thickBot="1">
      <c r="A8" s="5" t="s">
        <v>5</v>
      </c>
      <c r="B8" s="179" t="s">
        <v>6</v>
      </c>
      <c r="C8" s="456">
        <f>C9+C14+C23+C27+C47</f>
        <v>30782670.699999999</v>
      </c>
      <c r="D8" s="268">
        <f>'BILANS 2022'!D8</f>
        <v>28702198.990000002</v>
      </c>
      <c r="E8" s="6">
        <f>D8-C8</f>
        <v>-2080471.7099999972</v>
      </c>
      <c r="F8" s="180">
        <f>E8/C8</f>
        <v>-6.7585809245589504E-2</v>
      </c>
      <c r="G8" s="226"/>
      <c r="H8" s="93" t="s">
        <v>5</v>
      </c>
      <c r="I8" s="7" t="s">
        <v>7</v>
      </c>
      <c r="J8" s="77">
        <f>J9+J10+J12+J14+J17+J18+J19</f>
        <v>21496670.699999999</v>
      </c>
      <c r="K8" s="234">
        <f>'BILANS 2022'!K8</f>
        <v>22641842.829999998</v>
      </c>
      <c r="L8" s="159">
        <f>K8-J8</f>
        <v>1145172.129999999</v>
      </c>
      <c r="M8" s="160">
        <f>L8/J8</f>
        <v>5.3272069241866324E-2</v>
      </c>
    </row>
    <row r="9" spans="1:13" ht="15.75" thickBot="1">
      <c r="A9" s="8" t="s">
        <v>8</v>
      </c>
      <c r="B9" s="28" t="s">
        <v>206</v>
      </c>
      <c r="C9" s="9">
        <f>C10+C11+C12+C13</f>
        <v>60089.18</v>
      </c>
      <c r="D9" s="82">
        <f>'BILANS 2022'!D9</f>
        <v>100853.82</v>
      </c>
      <c r="E9" s="9">
        <f t="shared" ref="E9:E72" si="0">D9-C9</f>
        <v>40764.640000000007</v>
      </c>
      <c r="F9" s="157">
        <f t="shared" ref="F9:F72" si="1">E9/C9</f>
        <v>0.67840233466324562</v>
      </c>
      <c r="G9" s="226"/>
      <c r="H9" s="94" t="s">
        <v>8</v>
      </c>
      <c r="I9" s="10" t="s">
        <v>9</v>
      </c>
      <c r="J9" s="501">
        <v>35420985.210000001</v>
      </c>
      <c r="K9" s="116">
        <f>'BILANS 2022'!K9</f>
        <v>35420985.210000001</v>
      </c>
      <c r="L9" s="161">
        <f t="shared" ref="L9:L66" si="2">K9-J9</f>
        <v>0</v>
      </c>
      <c r="M9" s="162">
        <f t="shared" ref="M9:M66" si="3">L9/J9</f>
        <v>0</v>
      </c>
    </row>
    <row r="10" spans="1:13">
      <c r="A10" s="12">
        <v>1</v>
      </c>
      <c r="B10" s="30" t="s">
        <v>10</v>
      </c>
      <c r="C10" s="483"/>
      <c r="D10" s="83">
        <f>'BILANS 2022'!D10</f>
        <v>0</v>
      </c>
      <c r="E10" s="229">
        <f t="shared" si="0"/>
        <v>0</v>
      </c>
      <c r="F10" s="181" t="e">
        <f t="shared" si="1"/>
        <v>#DIV/0!</v>
      </c>
      <c r="G10" s="226"/>
      <c r="H10" s="94" t="s">
        <v>11</v>
      </c>
      <c r="I10" s="10" t="s">
        <v>171</v>
      </c>
      <c r="J10" s="501"/>
      <c r="K10" s="116">
        <f>'BILANS 2022'!K10</f>
        <v>0</v>
      </c>
      <c r="L10" s="163">
        <f t="shared" si="2"/>
        <v>0</v>
      </c>
      <c r="M10" s="164" t="e">
        <f t="shared" si="3"/>
        <v>#DIV/0!</v>
      </c>
    </row>
    <row r="11" spans="1:13" ht="30.75" thickBot="1">
      <c r="A11" s="12">
        <v>2</v>
      </c>
      <c r="B11" s="30" t="s">
        <v>12</v>
      </c>
      <c r="C11" s="483"/>
      <c r="D11" s="83">
        <f>'BILANS 2022'!D11</f>
        <v>0</v>
      </c>
      <c r="E11" s="230">
        <f t="shared" si="0"/>
        <v>0</v>
      </c>
      <c r="F11" s="182" t="e">
        <f t="shared" si="1"/>
        <v>#DIV/0!</v>
      </c>
      <c r="G11" s="226"/>
      <c r="H11" s="217"/>
      <c r="I11" s="207" t="s">
        <v>13</v>
      </c>
      <c r="J11" s="491"/>
      <c r="K11" s="214">
        <f>'BILANS 2022'!K11</f>
        <v>0</v>
      </c>
      <c r="L11" s="167">
        <f t="shared" si="2"/>
        <v>0</v>
      </c>
      <c r="M11" s="168" t="e">
        <f t="shared" si="3"/>
        <v>#DIV/0!</v>
      </c>
    </row>
    <row r="12" spans="1:13">
      <c r="A12" s="12">
        <v>3</v>
      </c>
      <c r="B12" s="30" t="s">
        <v>14</v>
      </c>
      <c r="C12" s="483">
        <v>60089.18</v>
      </c>
      <c r="D12" s="83">
        <f>'BILANS 2022'!D12</f>
        <v>100853.82</v>
      </c>
      <c r="E12" s="230">
        <f t="shared" si="0"/>
        <v>40764.640000000007</v>
      </c>
      <c r="F12" s="182">
        <f t="shared" si="1"/>
        <v>0.67840233466324562</v>
      </c>
      <c r="G12" s="226"/>
      <c r="H12" s="95" t="s">
        <v>16</v>
      </c>
      <c r="I12" s="16" t="s">
        <v>172</v>
      </c>
      <c r="J12" s="504"/>
      <c r="K12" s="158">
        <f>'BILANS 2022'!K12</f>
        <v>0</v>
      </c>
      <c r="L12" s="163">
        <f t="shared" si="2"/>
        <v>0</v>
      </c>
      <c r="M12" s="164" t="e">
        <f t="shared" si="3"/>
        <v>#DIV/0!</v>
      </c>
    </row>
    <row r="13" spans="1:13" ht="15.75" thickBot="1">
      <c r="A13" s="14">
        <v>4</v>
      </c>
      <c r="B13" s="40" t="s">
        <v>15</v>
      </c>
      <c r="C13" s="485"/>
      <c r="D13" s="84">
        <f>'BILANS 2022'!D13</f>
        <v>0</v>
      </c>
      <c r="E13" s="231">
        <f t="shared" si="0"/>
        <v>0</v>
      </c>
      <c r="F13" s="183" t="e">
        <f t="shared" si="1"/>
        <v>#DIV/0!</v>
      </c>
      <c r="G13" s="226"/>
      <c r="H13" s="96"/>
      <c r="I13" s="19" t="s">
        <v>18</v>
      </c>
      <c r="J13" s="506"/>
      <c r="K13" s="118">
        <f>'BILANS 2022'!K13</f>
        <v>0</v>
      </c>
      <c r="L13" s="167">
        <f t="shared" si="2"/>
        <v>0</v>
      </c>
      <c r="M13" s="168" t="e">
        <f t="shared" si="3"/>
        <v>#DIV/0!</v>
      </c>
    </row>
    <row r="14" spans="1:13">
      <c r="A14" s="18" t="s">
        <v>11</v>
      </c>
      <c r="B14" s="184" t="s">
        <v>17</v>
      </c>
      <c r="C14" s="9">
        <f>C15+C21+C22</f>
        <v>30685681.52</v>
      </c>
      <c r="D14" s="82">
        <f>'BILANS 2022'!D14</f>
        <v>28564442.370000001</v>
      </c>
      <c r="E14" s="9">
        <f t="shared" si="0"/>
        <v>-2121239.1499999985</v>
      </c>
      <c r="F14" s="157">
        <f t="shared" si="1"/>
        <v>-6.9127979074456572E-2</v>
      </c>
      <c r="G14" s="226"/>
      <c r="H14" s="95" t="s">
        <v>20</v>
      </c>
      <c r="I14" s="16" t="s">
        <v>173</v>
      </c>
      <c r="J14" s="504"/>
      <c r="K14" s="117">
        <f>'BILANS 2022'!K14</f>
        <v>0</v>
      </c>
      <c r="L14" s="163">
        <f t="shared" si="2"/>
        <v>0</v>
      </c>
      <c r="M14" s="164" t="e">
        <f t="shared" si="3"/>
        <v>#DIV/0!</v>
      </c>
    </row>
    <row r="15" spans="1:13">
      <c r="A15" s="21">
        <v>1</v>
      </c>
      <c r="B15" s="185" t="s">
        <v>19</v>
      </c>
      <c r="C15" s="22">
        <f>SUM(C16:C20)</f>
        <v>30685681.52</v>
      </c>
      <c r="D15" s="85">
        <f>'BILANS 2022'!D15</f>
        <v>28544211.330000002</v>
      </c>
      <c r="E15" s="229">
        <f t="shared" si="0"/>
        <v>-2141470.1899999976</v>
      </c>
      <c r="F15" s="181">
        <f t="shared" si="1"/>
        <v>-6.978727810246782E-2</v>
      </c>
      <c r="G15" s="226"/>
      <c r="H15" s="96"/>
      <c r="I15" s="19" t="s">
        <v>23</v>
      </c>
      <c r="J15" s="506"/>
      <c r="K15" s="118">
        <f>'BILANS 2022'!K15</f>
        <v>0</v>
      </c>
      <c r="L15" s="165">
        <f t="shared" si="2"/>
        <v>0</v>
      </c>
      <c r="M15" s="166" t="e">
        <f t="shared" si="3"/>
        <v>#DIV/0!</v>
      </c>
    </row>
    <row r="16" spans="1:13" ht="30.75" thickBot="1">
      <c r="A16" s="12" t="s">
        <v>21</v>
      </c>
      <c r="B16" s="30" t="s">
        <v>22</v>
      </c>
      <c r="C16" s="483">
        <v>7662681.5199999996</v>
      </c>
      <c r="D16" s="83">
        <f>'BILANS 2022'!D16</f>
        <v>7662681.5199999996</v>
      </c>
      <c r="E16" s="230">
        <f t="shared" si="0"/>
        <v>0</v>
      </c>
      <c r="F16" s="182">
        <f t="shared" si="1"/>
        <v>0</v>
      </c>
      <c r="G16" s="226"/>
      <c r="H16" s="96"/>
      <c r="I16" s="19" t="s">
        <v>26</v>
      </c>
      <c r="J16" s="506"/>
      <c r="K16" s="118">
        <f>'BILANS 2022'!K16</f>
        <v>0</v>
      </c>
      <c r="L16" s="167">
        <f t="shared" si="2"/>
        <v>0</v>
      </c>
      <c r="M16" s="168" t="e">
        <f t="shared" si="3"/>
        <v>#DIV/0!</v>
      </c>
    </row>
    <row r="17" spans="1:13" ht="30.75" thickBot="1">
      <c r="A17" s="12" t="s">
        <v>24</v>
      </c>
      <c r="B17" s="30" t="s">
        <v>25</v>
      </c>
      <c r="C17" s="483">
        <v>7523000</v>
      </c>
      <c r="D17" s="83">
        <f>'BILANS 2022'!D17</f>
        <v>8602972.5999999996</v>
      </c>
      <c r="E17" s="230">
        <f t="shared" si="0"/>
        <v>1079972.5999999996</v>
      </c>
      <c r="F17" s="182">
        <f t="shared" si="1"/>
        <v>0.14355610793566392</v>
      </c>
      <c r="G17" s="226"/>
      <c r="H17" s="94" t="s">
        <v>29</v>
      </c>
      <c r="I17" s="10" t="s">
        <v>30</v>
      </c>
      <c r="J17" s="553">
        <v>-19285314.510000002</v>
      </c>
      <c r="K17" s="294">
        <f>'BILANS 2022'!K17</f>
        <v>-19285314.510000002</v>
      </c>
      <c r="L17" s="161">
        <f t="shared" si="2"/>
        <v>0</v>
      </c>
      <c r="M17" s="162">
        <f t="shared" si="3"/>
        <v>0</v>
      </c>
    </row>
    <row r="18" spans="1:13" ht="15.75" thickBot="1">
      <c r="A18" s="12" t="s">
        <v>27</v>
      </c>
      <c r="B18" s="30" t="s">
        <v>28</v>
      </c>
      <c r="C18" s="483">
        <v>500000</v>
      </c>
      <c r="D18" s="83">
        <f>'BILANS 2022'!D18</f>
        <v>426865.96</v>
      </c>
      <c r="E18" s="230">
        <f t="shared" si="0"/>
        <v>-73134.039999999979</v>
      </c>
      <c r="F18" s="182">
        <f t="shared" si="1"/>
        <v>-0.14626807999999997</v>
      </c>
      <c r="G18" s="226"/>
      <c r="H18" s="94" t="s">
        <v>33</v>
      </c>
      <c r="I18" s="10" t="s">
        <v>34</v>
      </c>
      <c r="J18" s="511">
        <v>5361000</v>
      </c>
      <c r="K18" s="294">
        <f>'BILANS 2022'!K18</f>
        <v>6506172.1299999999</v>
      </c>
      <c r="L18" s="161">
        <f t="shared" si="2"/>
        <v>1145172.1299999999</v>
      </c>
      <c r="M18" s="162">
        <f t="shared" si="3"/>
        <v>0.21361166386868119</v>
      </c>
    </row>
    <row r="19" spans="1:13" ht="30.75" thickBot="1">
      <c r="A19" s="12" t="s">
        <v>31</v>
      </c>
      <c r="B19" s="30" t="s">
        <v>32</v>
      </c>
      <c r="C19" s="483">
        <v>11000000</v>
      </c>
      <c r="D19" s="83">
        <f>'BILANS 2022'!D19</f>
        <v>7476298.9800000004</v>
      </c>
      <c r="E19" s="230">
        <f t="shared" si="0"/>
        <v>-3523701.0199999996</v>
      </c>
      <c r="F19" s="182">
        <f t="shared" si="1"/>
        <v>-0.32033645636363633</v>
      </c>
      <c r="G19" s="226"/>
      <c r="H19" s="218" t="s">
        <v>37</v>
      </c>
      <c r="I19" s="209" t="s">
        <v>38</v>
      </c>
      <c r="J19" s="513"/>
      <c r="K19" s="211">
        <f>'BILANS 2022'!K19</f>
        <v>0</v>
      </c>
      <c r="L19" s="212">
        <f t="shared" si="2"/>
        <v>0</v>
      </c>
      <c r="M19" s="213" t="e">
        <f t="shared" si="3"/>
        <v>#DIV/0!</v>
      </c>
    </row>
    <row r="20" spans="1:13" ht="15.75" thickBot="1">
      <c r="A20" s="12" t="s">
        <v>35</v>
      </c>
      <c r="B20" s="30" t="s">
        <v>36</v>
      </c>
      <c r="C20" s="483">
        <v>4000000</v>
      </c>
      <c r="D20" s="83">
        <f>'BILANS 2022'!D20</f>
        <v>4375392.2699999996</v>
      </c>
      <c r="E20" s="230">
        <f t="shared" si="0"/>
        <v>375392.26999999955</v>
      </c>
      <c r="F20" s="182">
        <f t="shared" si="1"/>
        <v>9.3848067499999882E-2</v>
      </c>
      <c r="G20" s="226"/>
      <c r="H20" s="93" t="s">
        <v>41</v>
      </c>
      <c r="I20" s="26" t="s">
        <v>42</v>
      </c>
      <c r="J20" s="27">
        <f>J21+J29+J38+J62</f>
        <v>56968000</v>
      </c>
      <c r="K20" s="119">
        <f>'BILANS 2022'!K20</f>
        <v>58168249.699999996</v>
      </c>
      <c r="L20" s="159">
        <f t="shared" si="2"/>
        <v>1200249.6999999955</v>
      </c>
      <c r="M20" s="160">
        <f t="shared" si="3"/>
        <v>2.1068840401628906E-2</v>
      </c>
    </row>
    <row r="21" spans="1:13">
      <c r="A21" s="21">
        <v>2</v>
      </c>
      <c r="B21" s="186" t="s">
        <v>39</v>
      </c>
      <c r="C21" s="487"/>
      <c r="D21" s="85">
        <f>'BILANS 2022'!D21</f>
        <v>20231.04</v>
      </c>
      <c r="E21" s="230">
        <f t="shared" si="0"/>
        <v>20231.04</v>
      </c>
      <c r="F21" s="182" t="e">
        <f t="shared" si="1"/>
        <v>#DIV/0!</v>
      </c>
      <c r="G21" s="226"/>
      <c r="H21" s="97" t="s">
        <v>8</v>
      </c>
      <c r="I21" s="28" t="s">
        <v>44</v>
      </c>
      <c r="J21" s="9">
        <f>J22+J23+J26</f>
        <v>16350000</v>
      </c>
      <c r="K21" s="82">
        <f>'BILANS 2022'!K21</f>
        <v>17244499.989999998</v>
      </c>
      <c r="L21" s="171">
        <f t="shared" si="2"/>
        <v>894499.98999999836</v>
      </c>
      <c r="M21" s="172">
        <f t="shared" si="3"/>
        <v>5.4709479510703263E-2</v>
      </c>
    </row>
    <row r="22" spans="1:13" ht="15.75" thickBot="1">
      <c r="A22" s="24">
        <v>3</v>
      </c>
      <c r="B22" s="187" t="s">
        <v>40</v>
      </c>
      <c r="C22" s="489"/>
      <c r="D22" s="86">
        <f>'BILANS 2022'!D22</f>
        <v>0</v>
      </c>
      <c r="E22" s="231">
        <f t="shared" si="0"/>
        <v>0</v>
      </c>
      <c r="F22" s="183" t="e">
        <f t="shared" si="1"/>
        <v>#DIV/0!</v>
      </c>
      <c r="G22" s="226"/>
      <c r="H22" s="70">
        <v>1</v>
      </c>
      <c r="I22" s="30" t="s">
        <v>46</v>
      </c>
      <c r="J22" s="483"/>
      <c r="K22" s="83">
        <f>'BILANS 2022'!K22</f>
        <v>0</v>
      </c>
      <c r="L22" s="165">
        <f t="shared" si="2"/>
        <v>0</v>
      </c>
      <c r="M22" s="166" t="e">
        <f t="shared" si="3"/>
        <v>#DIV/0!</v>
      </c>
    </row>
    <row r="23" spans="1:13">
      <c r="A23" s="8" t="s">
        <v>16</v>
      </c>
      <c r="B23" s="28" t="s">
        <v>43</v>
      </c>
      <c r="C23" s="9">
        <f>C24+C25+C26</f>
        <v>0</v>
      </c>
      <c r="D23" s="82">
        <f>'BILANS 2022'!D23</f>
        <v>0</v>
      </c>
      <c r="E23" s="9">
        <f t="shared" si="0"/>
        <v>0</v>
      </c>
      <c r="F23" s="157" t="e">
        <f t="shared" si="1"/>
        <v>#DIV/0!</v>
      </c>
      <c r="G23" s="226"/>
      <c r="H23" s="70">
        <v>2</v>
      </c>
      <c r="I23" s="30" t="s">
        <v>48</v>
      </c>
      <c r="J23" s="13">
        <f>J24+J25</f>
        <v>12850000</v>
      </c>
      <c r="K23" s="173">
        <f>'BILANS 2022'!K23</f>
        <v>11989673.989999998</v>
      </c>
      <c r="L23" s="165">
        <f t="shared" si="2"/>
        <v>-860326.01000000164</v>
      </c>
      <c r="M23" s="166">
        <f t="shared" si="3"/>
        <v>-6.6951440466926193E-2</v>
      </c>
    </row>
    <row r="24" spans="1:13">
      <c r="A24" s="12">
        <v>1</v>
      </c>
      <c r="B24" s="188" t="s">
        <v>45</v>
      </c>
      <c r="C24" s="483"/>
      <c r="D24" s="83">
        <f>'BILANS 2022'!D24</f>
        <v>0</v>
      </c>
      <c r="E24" s="229">
        <f t="shared" si="0"/>
        <v>0</v>
      </c>
      <c r="F24" s="181" t="e">
        <f t="shared" si="1"/>
        <v>#DIV/0!</v>
      </c>
      <c r="G24" s="226"/>
      <c r="H24" s="70"/>
      <c r="I24" s="30" t="s">
        <v>49</v>
      </c>
      <c r="J24" s="483">
        <v>11200000</v>
      </c>
      <c r="K24" s="173">
        <f>'BILANS 2022'!K24</f>
        <v>10434928.369999999</v>
      </c>
      <c r="L24" s="165">
        <f t="shared" si="2"/>
        <v>-765071.63000000082</v>
      </c>
      <c r="M24" s="166">
        <f t="shared" si="3"/>
        <v>-6.830996696428579E-2</v>
      </c>
    </row>
    <row r="25" spans="1:13" ht="30">
      <c r="A25" s="151">
        <v>2</v>
      </c>
      <c r="B25" s="328" t="s">
        <v>47</v>
      </c>
      <c r="C25" s="539"/>
      <c r="D25" s="228">
        <f>'BILANS 2022'!D25</f>
        <v>0</v>
      </c>
      <c r="E25" s="231">
        <f t="shared" si="0"/>
        <v>0</v>
      </c>
      <c r="F25" s="183" t="e">
        <f t="shared" si="1"/>
        <v>#DIV/0!</v>
      </c>
      <c r="G25" s="226"/>
      <c r="H25" s="70"/>
      <c r="I25" s="30" t="s">
        <v>51</v>
      </c>
      <c r="J25" s="483">
        <v>1650000</v>
      </c>
      <c r="K25" s="173">
        <f>'BILANS 2022'!K25</f>
        <v>1554745.62</v>
      </c>
      <c r="L25" s="165">
        <f t="shared" si="2"/>
        <v>-95254.379999999888</v>
      </c>
      <c r="M25" s="166">
        <f t="shared" si="3"/>
        <v>-5.7729927272727202E-2</v>
      </c>
    </row>
    <row r="26" spans="1:13" ht="15.75" thickBot="1">
      <c r="A26" s="14">
        <v>3</v>
      </c>
      <c r="B26" s="189" t="s">
        <v>50</v>
      </c>
      <c r="C26" s="485"/>
      <c r="D26" s="84">
        <f>'BILANS 2022'!D26</f>
        <v>0</v>
      </c>
      <c r="E26" s="231">
        <f t="shared" si="0"/>
        <v>0</v>
      </c>
      <c r="F26" s="183" t="e">
        <f t="shared" si="1"/>
        <v>#DIV/0!</v>
      </c>
      <c r="G26" s="226"/>
      <c r="H26" s="70">
        <v>3</v>
      </c>
      <c r="I26" s="30" t="s">
        <v>53</v>
      </c>
      <c r="J26" s="13">
        <f>J27+J28</f>
        <v>3500000</v>
      </c>
      <c r="K26" s="173">
        <f>'BILANS 2022'!K26</f>
        <v>5254826</v>
      </c>
      <c r="L26" s="165">
        <f t="shared" si="2"/>
        <v>1754826</v>
      </c>
      <c r="M26" s="166">
        <f t="shared" si="3"/>
        <v>0.50137885714285713</v>
      </c>
    </row>
    <row r="27" spans="1:13">
      <c r="A27" s="18" t="s">
        <v>20</v>
      </c>
      <c r="B27" s="184" t="s">
        <v>52</v>
      </c>
      <c r="C27" s="9">
        <f>C28+C29+C30+C46</f>
        <v>0</v>
      </c>
      <c r="D27" s="82">
        <f>'BILANS 2022'!D27</f>
        <v>0</v>
      </c>
      <c r="E27" s="9">
        <f t="shared" si="0"/>
        <v>0</v>
      </c>
      <c r="F27" s="157" t="e">
        <f t="shared" si="1"/>
        <v>#DIV/0!</v>
      </c>
      <c r="G27" s="226"/>
      <c r="H27" s="70"/>
      <c r="I27" s="30" t="s">
        <v>55</v>
      </c>
      <c r="J27" s="483"/>
      <c r="K27" s="83">
        <f>'BILANS 2022'!K27</f>
        <v>0</v>
      </c>
      <c r="L27" s="165">
        <f t="shared" si="2"/>
        <v>0</v>
      </c>
      <c r="M27" s="166" t="e">
        <f t="shared" si="3"/>
        <v>#DIV/0!</v>
      </c>
    </row>
    <row r="28" spans="1:13" ht="15.75" thickBot="1">
      <c r="A28" s="21">
        <v>1</v>
      </c>
      <c r="B28" s="185" t="s">
        <v>54</v>
      </c>
      <c r="C28" s="487"/>
      <c r="D28" s="85">
        <f>'BILANS 2022'!D28</f>
        <v>0</v>
      </c>
      <c r="E28" s="229">
        <f t="shared" si="0"/>
        <v>0</v>
      </c>
      <c r="F28" s="181" t="e">
        <f t="shared" si="1"/>
        <v>#DIV/0!</v>
      </c>
      <c r="G28" s="226"/>
      <c r="H28" s="70"/>
      <c r="I28" s="30" t="s">
        <v>56</v>
      </c>
      <c r="J28" s="485">
        <v>3500000</v>
      </c>
      <c r="K28" s="84">
        <f>'BILANS 2022'!K28</f>
        <v>5254826</v>
      </c>
      <c r="L28" s="169">
        <f t="shared" si="2"/>
        <v>1754826</v>
      </c>
      <c r="M28" s="170">
        <f t="shared" si="3"/>
        <v>0.50137885714285713</v>
      </c>
    </row>
    <row r="29" spans="1:13">
      <c r="A29" s="21">
        <v>2</v>
      </c>
      <c r="B29" s="186" t="s">
        <v>206</v>
      </c>
      <c r="C29" s="487"/>
      <c r="D29" s="85">
        <f>'BILANS 2022'!D29</f>
        <v>0</v>
      </c>
      <c r="E29" s="230">
        <f t="shared" si="0"/>
        <v>0</v>
      </c>
      <c r="F29" s="182" t="e">
        <f t="shared" si="1"/>
        <v>#DIV/0!</v>
      </c>
      <c r="G29" s="226"/>
      <c r="H29" s="97" t="s">
        <v>11</v>
      </c>
      <c r="I29" s="28" t="s">
        <v>58</v>
      </c>
      <c r="J29" s="9">
        <f>J30+J31+J32</f>
        <v>1608000</v>
      </c>
      <c r="K29" s="82">
        <f>'BILANS 2022'!K29</f>
        <v>408048.83</v>
      </c>
      <c r="L29" s="174">
        <f t="shared" si="2"/>
        <v>-1199951.17</v>
      </c>
      <c r="M29" s="175">
        <f t="shared" si="3"/>
        <v>-0.74623828980099494</v>
      </c>
    </row>
    <row r="30" spans="1:13">
      <c r="A30" s="21">
        <v>3</v>
      </c>
      <c r="B30" s="186" t="s">
        <v>57</v>
      </c>
      <c r="C30" s="487"/>
      <c r="D30" s="85">
        <f>'BILANS 2022'!D30</f>
        <v>0</v>
      </c>
      <c r="E30" s="230">
        <f t="shared" si="0"/>
        <v>0</v>
      </c>
      <c r="F30" s="182" t="e">
        <f t="shared" si="1"/>
        <v>#DIV/0!</v>
      </c>
      <c r="G30" s="226"/>
      <c r="H30" s="70">
        <v>1</v>
      </c>
      <c r="I30" s="30" t="s">
        <v>60</v>
      </c>
      <c r="J30" s="483"/>
      <c r="K30" s="83">
        <f>'BILANS 2022'!K30</f>
        <v>0</v>
      </c>
      <c r="L30" s="163">
        <f t="shared" si="2"/>
        <v>0</v>
      </c>
      <c r="M30" s="164" t="e">
        <f t="shared" si="3"/>
        <v>#DIV/0!</v>
      </c>
    </row>
    <row r="31" spans="1:13" ht="30">
      <c r="A31" s="12" t="s">
        <v>21</v>
      </c>
      <c r="B31" s="188" t="s">
        <v>59</v>
      </c>
      <c r="C31" s="13">
        <f>SUM(C32:C35)</f>
        <v>0</v>
      </c>
      <c r="D31" s="83">
        <f>'BILANS 2022'!D31</f>
        <v>0</v>
      </c>
      <c r="E31" s="230">
        <f t="shared" si="0"/>
        <v>0</v>
      </c>
      <c r="F31" s="182" t="e">
        <f t="shared" si="1"/>
        <v>#DIV/0!</v>
      </c>
      <c r="G31" s="226"/>
      <c r="H31" s="151">
        <v>2</v>
      </c>
      <c r="I31" s="207" t="s">
        <v>62</v>
      </c>
      <c r="J31" s="491"/>
      <c r="K31" s="216">
        <f>'BILANS 2022'!K31</f>
        <v>0</v>
      </c>
      <c r="L31" s="169">
        <f t="shared" si="2"/>
        <v>0</v>
      </c>
      <c r="M31" s="170" t="e">
        <f t="shared" si="3"/>
        <v>#DIV/0!</v>
      </c>
    </row>
    <row r="32" spans="1:13">
      <c r="A32" s="12"/>
      <c r="B32" s="188" t="s">
        <v>61</v>
      </c>
      <c r="C32" s="483"/>
      <c r="D32" s="83">
        <f>'BILANS 2022'!D32</f>
        <v>0</v>
      </c>
      <c r="E32" s="230">
        <f t="shared" si="0"/>
        <v>0</v>
      </c>
      <c r="F32" s="182" t="e">
        <f t="shared" si="1"/>
        <v>#DIV/0!</v>
      </c>
      <c r="G32" s="226"/>
      <c r="H32" s="70">
        <v>3</v>
      </c>
      <c r="I32" s="30" t="s">
        <v>65</v>
      </c>
      <c r="J32" s="13">
        <f>SUM(J33:J37)</f>
        <v>1608000</v>
      </c>
      <c r="K32" s="173">
        <f>'BILANS 2022'!K32</f>
        <v>408048.83</v>
      </c>
      <c r="L32" s="165">
        <f t="shared" si="2"/>
        <v>-1199951.17</v>
      </c>
      <c r="M32" s="166">
        <f t="shared" si="3"/>
        <v>-0.74623828980099494</v>
      </c>
    </row>
    <row r="33" spans="1:13">
      <c r="A33" s="12"/>
      <c r="B33" s="188" t="s">
        <v>63</v>
      </c>
      <c r="C33" s="483"/>
      <c r="D33" s="83">
        <f>'BILANS 2022'!D33</f>
        <v>0</v>
      </c>
      <c r="E33" s="230">
        <f t="shared" si="0"/>
        <v>0</v>
      </c>
      <c r="F33" s="182" t="e">
        <f t="shared" si="1"/>
        <v>#DIV/0!</v>
      </c>
      <c r="G33" s="226"/>
      <c r="H33" s="70" t="s">
        <v>21</v>
      </c>
      <c r="I33" s="30" t="s">
        <v>67</v>
      </c>
      <c r="J33" s="483">
        <v>1200000</v>
      </c>
      <c r="K33" s="173">
        <f>'BILANS 2022'!K33</f>
        <v>0</v>
      </c>
      <c r="L33" s="165">
        <f t="shared" si="2"/>
        <v>-1200000</v>
      </c>
      <c r="M33" s="166">
        <f t="shared" si="3"/>
        <v>-1</v>
      </c>
    </row>
    <row r="34" spans="1:13">
      <c r="A34" s="12"/>
      <c r="B34" s="188" t="s">
        <v>64</v>
      </c>
      <c r="C34" s="483"/>
      <c r="D34" s="83">
        <f>'BILANS 2022'!D34</f>
        <v>0</v>
      </c>
      <c r="E34" s="230">
        <f t="shared" si="0"/>
        <v>0</v>
      </c>
      <c r="F34" s="182" t="e">
        <f t="shared" si="1"/>
        <v>#DIV/0!</v>
      </c>
      <c r="G34" s="226"/>
      <c r="H34" s="70" t="s">
        <v>24</v>
      </c>
      <c r="I34" s="30" t="s">
        <v>69</v>
      </c>
      <c r="J34" s="483"/>
      <c r="K34" s="83">
        <f>'BILANS 2022'!K34</f>
        <v>0</v>
      </c>
      <c r="L34" s="165">
        <f t="shared" si="2"/>
        <v>0</v>
      </c>
      <c r="M34" s="166" t="e">
        <f t="shared" si="3"/>
        <v>#DIV/0!</v>
      </c>
    </row>
    <row r="35" spans="1:13">
      <c r="A35" s="12"/>
      <c r="B35" s="30" t="s">
        <v>66</v>
      </c>
      <c r="C35" s="483"/>
      <c r="D35" s="83">
        <f>'BILANS 2022'!D35</f>
        <v>0</v>
      </c>
      <c r="E35" s="230">
        <f t="shared" si="0"/>
        <v>0</v>
      </c>
      <c r="F35" s="182" t="e">
        <f t="shared" si="1"/>
        <v>#DIV/0!</v>
      </c>
      <c r="G35" s="226"/>
      <c r="H35" s="70" t="s">
        <v>27</v>
      </c>
      <c r="I35" s="30" t="s">
        <v>70</v>
      </c>
      <c r="J35" s="483">
        <v>408000</v>
      </c>
      <c r="K35" s="83">
        <f>'BILANS 2022'!K35</f>
        <v>408048.83</v>
      </c>
      <c r="L35" s="165">
        <f t="shared" si="2"/>
        <v>48.830000000016298</v>
      </c>
      <c r="M35" s="166">
        <f t="shared" si="3"/>
        <v>1.1968137254905955E-4</v>
      </c>
    </row>
    <row r="36" spans="1:13" ht="30">
      <c r="A36" s="215" t="s">
        <v>24</v>
      </c>
      <c r="B36" s="332" t="s">
        <v>68</v>
      </c>
      <c r="C36" s="457">
        <f>SUM(C37:C40)</f>
        <v>0</v>
      </c>
      <c r="D36" s="228">
        <f>'BILANS 2022'!D36</f>
        <v>0</v>
      </c>
      <c r="E36" s="231">
        <f t="shared" si="0"/>
        <v>0</v>
      </c>
      <c r="F36" s="183" t="e">
        <f t="shared" si="1"/>
        <v>#DIV/0!</v>
      </c>
      <c r="G36" s="226"/>
      <c r="H36" s="70" t="s">
        <v>31</v>
      </c>
      <c r="I36" s="30" t="s">
        <v>71</v>
      </c>
      <c r="J36" s="483"/>
      <c r="K36" s="83">
        <f>'BILANS 2022'!K36</f>
        <v>0</v>
      </c>
      <c r="L36" s="165">
        <f t="shared" si="2"/>
        <v>0</v>
      </c>
      <c r="M36" s="166" t="e">
        <f t="shared" si="3"/>
        <v>#DIV/0!</v>
      </c>
    </row>
    <row r="37" spans="1:13" ht="15.75" thickBot="1">
      <c r="A37" s="69"/>
      <c r="B37" s="190" t="s">
        <v>61</v>
      </c>
      <c r="C37" s="493"/>
      <c r="D37" s="87">
        <f>'BILANS 2022'!D37</f>
        <v>0</v>
      </c>
      <c r="E37" s="230">
        <f t="shared" si="0"/>
        <v>0</v>
      </c>
      <c r="F37" s="182" t="e">
        <f t="shared" si="1"/>
        <v>#DIV/0!</v>
      </c>
      <c r="G37" s="226"/>
      <c r="H37" s="70" t="s">
        <v>35</v>
      </c>
      <c r="I37" s="30" t="s">
        <v>72</v>
      </c>
      <c r="J37" s="485"/>
      <c r="K37" s="84">
        <f>'BILANS 2022'!K37</f>
        <v>0</v>
      </c>
      <c r="L37" s="169">
        <f t="shared" si="2"/>
        <v>0</v>
      </c>
      <c r="M37" s="170" t="e">
        <f t="shared" si="3"/>
        <v>#DIV/0!</v>
      </c>
    </row>
    <row r="38" spans="1:13">
      <c r="A38" s="69"/>
      <c r="B38" s="190" t="s">
        <v>63</v>
      </c>
      <c r="C38" s="493"/>
      <c r="D38" s="87">
        <f>'BILANS 2022'!D38</f>
        <v>0</v>
      </c>
      <c r="E38" s="230">
        <f t="shared" si="0"/>
        <v>0</v>
      </c>
      <c r="F38" s="182" t="e">
        <f t="shared" si="1"/>
        <v>#DIV/0!</v>
      </c>
      <c r="G38" s="226"/>
      <c r="H38" s="97" t="s">
        <v>16</v>
      </c>
      <c r="I38" s="28" t="s">
        <v>73</v>
      </c>
      <c r="J38" s="9">
        <f>J39+J49+J61</f>
        <v>26500000</v>
      </c>
      <c r="K38" s="82">
        <f>'BILANS 2022'!K38</f>
        <v>28152108.349999998</v>
      </c>
      <c r="L38" s="174">
        <f t="shared" si="2"/>
        <v>1652108.3499999978</v>
      </c>
      <c r="M38" s="175">
        <f t="shared" si="3"/>
        <v>6.2343711320754634E-2</v>
      </c>
    </row>
    <row r="39" spans="1:13">
      <c r="A39" s="69"/>
      <c r="B39" s="190" t="s">
        <v>64</v>
      </c>
      <c r="C39" s="493"/>
      <c r="D39" s="87">
        <f>'BILANS 2022'!D39</f>
        <v>0</v>
      </c>
      <c r="E39" s="230">
        <f t="shared" si="0"/>
        <v>0</v>
      </c>
      <c r="F39" s="182" t="e">
        <f t="shared" si="1"/>
        <v>#DIV/0!</v>
      </c>
      <c r="G39" s="226"/>
      <c r="H39" s="70">
        <v>1</v>
      </c>
      <c r="I39" s="30" t="s">
        <v>60</v>
      </c>
      <c r="J39" s="13">
        <f>J40+J43</f>
        <v>0</v>
      </c>
      <c r="K39" s="173">
        <f>'BILANS 2022'!K39</f>
        <v>0</v>
      </c>
      <c r="L39" s="163">
        <f t="shared" si="2"/>
        <v>0</v>
      </c>
      <c r="M39" s="164" t="e">
        <f t="shared" si="3"/>
        <v>#DIV/0!</v>
      </c>
    </row>
    <row r="40" spans="1:13">
      <c r="A40" s="69"/>
      <c r="B40" s="33" t="s">
        <v>66</v>
      </c>
      <c r="C40" s="493"/>
      <c r="D40" s="87">
        <f>'BILANS 2022'!D40</f>
        <v>0</v>
      </c>
      <c r="E40" s="230">
        <f t="shared" si="0"/>
        <v>0</v>
      </c>
      <c r="F40" s="182" t="e">
        <f t="shared" si="1"/>
        <v>#DIV/0!</v>
      </c>
      <c r="G40" s="226"/>
      <c r="H40" s="70" t="s">
        <v>21</v>
      </c>
      <c r="I40" s="30" t="s">
        <v>75</v>
      </c>
      <c r="J40" s="13">
        <f>J41+J42</f>
        <v>0</v>
      </c>
      <c r="K40" s="173">
        <f>'BILANS 2022'!K40</f>
        <v>0</v>
      </c>
      <c r="L40" s="165">
        <f t="shared" si="2"/>
        <v>0</v>
      </c>
      <c r="M40" s="166" t="e">
        <f t="shared" si="3"/>
        <v>#DIV/0!</v>
      </c>
    </row>
    <row r="41" spans="1:13">
      <c r="A41" s="12" t="s">
        <v>27</v>
      </c>
      <c r="B41" s="188" t="s">
        <v>74</v>
      </c>
      <c r="C41" s="13">
        <f>SUM(C42:C45)</f>
        <v>0</v>
      </c>
      <c r="D41" s="83">
        <f>'BILANS 2022'!D41</f>
        <v>0</v>
      </c>
      <c r="E41" s="230">
        <f t="shared" si="0"/>
        <v>0</v>
      </c>
      <c r="F41" s="182" t="e">
        <f t="shared" si="1"/>
        <v>#DIV/0!</v>
      </c>
      <c r="G41" s="226"/>
      <c r="H41" s="70"/>
      <c r="I41" s="29" t="s">
        <v>76</v>
      </c>
      <c r="J41" s="483"/>
      <c r="K41" s="173">
        <f>'BILANS 2022'!K41</f>
        <v>0</v>
      </c>
      <c r="L41" s="165">
        <f t="shared" si="2"/>
        <v>0</v>
      </c>
      <c r="M41" s="166" t="e">
        <f t="shared" si="3"/>
        <v>#DIV/0!</v>
      </c>
    </row>
    <row r="42" spans="1:13">
      <c r="A42" s="12"/>
      <c r="B42" s="188" t="s">
        <v>61</v>
      </c>
      <c r="C42" s="483"/>
      <c r="D42" s="83">
        <f>'BILANS 2022'!D42</f>
        <v>0</v>
      </c>
      <c r="E42" s="230">
        <f t="shared" si="0"/>
        <v>0</v>
      </c>
      <c r="F42" s="182" t="e">
        <f t="shared" si="1"/>
        <v>#DIV/0!</v>
      </c>
      <c r="G42" s="226"/>
      <c r="H42" s="70"/>
      <c r="I42" s="29" t="s">
        <v>77</v>
      </c>
      <c r="J42" s="483"/>
      <c r="K42" s="173">
        <f>'BILANS 2022'!K42</f>
        <v>0</v>
      </c>
      <c r="L42" s="165">
        <f t="shared" si="2"/>
        <v>0</v>
      </c>
      <c r="M42" s="166" t="e">
        <f t="shared" si="3"/>
        <v>#DIV/0!</v>
      </c>
    </row>
    <row r="43" spans="1:13">
      <c r="A43" s="12"/>
      <c r="B43" s="188" t="s">
        <v>63</v>
      </c>
      <c r="C43" s="483"/>
      <c r="D43" s="83">
        <f>'BILANS 2022'!D43</f>
        <v>0</v>
      </c>
      <c r="E43" s="230">
        <f t="shared" si="0"/>
        <v>0</v>
      </c>
      <c r="F43" s="182" t="e">
        <f t="shared" si="1"/>
        <v>#DIV/0!</v>
      </c>
      <c r="G43" s="226"/>
      <c r="H43" s="70" t="s">
        <v>24</v>
      </c>
      <c r="I43" s="30" t="s">
        <v>78</v>
      </c>
      <c r="J43" s="483"/>
      <c r="K43" s="173">
        <f>'BILANS 2022'!K43</f>
        <v>0</v>
      </c>
      <c r="L43" s="165">
        <f t="shared" si="2"/>
        <v>0</v>
      </c>
      <c r="M43" s="166" t="e">
        <f t="shared" si="3"/>
        <v>#DIV/0!</v>
      </c>
    </row>
    <row r="44" spans="1:13" ht="30">
      <c r="A44" s="12"/>
      <c r="B44" s="188" t="s">
        <v>64</v>
      </c>
      <c r="C44" s="483"/>
      <c r="D44" s="83">
        <f>'BILANS 2022'!D44</f>
        <v>0</v>
      </c>
      <c r="E44" s="230">
        <f t="shared" si="0"/>
        <v>0</v>
      </c>
      <c r="F44" s="182" t="e">
        <f t="shared" si="1"/>
        <v>#DIV/0!</v>
      </c>
      <c r="G44" s="226"/>
      <c r="H44" s="151">
        <v>2</v>
      </c>
      <c r="I44" s="207" t="s">
        <v>62</v>
      </c>
      <c r="J44" s="208">
        <f>J45+J48</f>
        <v>0</v>
      </c>
      <c r="K44" s="216">
        <f>'BILANS 2022'!K44</f>
        <v>0</v>
      </c>
      <c r="L44" s="169">
        <f>K44-J44</f>
        <v>0</v>
      </c>
      <c r="M44" s="170" t="e">
        <f>L44/J44</f>
        <v>#DIV/0!</v>
      </c>
    </row>
    <row r="45" spans="1:13">
      <c r="A45" s="12"/>
      <c r="B45" s="30" t="s">
        <v>66</v>
      </c>
      <c r="C45" s="483"/>
      <c r="D45" s="83">
        <f>'BILANS 2022'!D45</f>
        <v>0</v>
      </c>
      <c r="E45" s="230">
        <f t="shared" si="0"/>
        <v>0</v>
      </c>
      <c r="F45" s="182" t="e">
        <f t="shared" si="1"/>
        <v>#DIV/0!</v>
      </c>
      <c r="G45" s="226"/>
      <c r="H45" s="219" t="s">
        <v>21</v>
      </c>
      <c r="I45" s="33" t="s">
        <v>75</v>
      </c>
      <c r="J45" s="32">
        <f>J46+J47</f>
        <v>0</v>
      </c>
      <c r="K45" s="176">
        <f>'BILANS 2022'!K45</f>
        <v>0</v>
      </c>
      <c r="L45" s="165">
        <f t="shared" si="2"/>
        <v>0</v>
      </c>
      <c r="M45" s="166" t="e">
        <f t="shared" si="3"/>
        <v>#DIV/0!</v>
      </c>
    </row>
    <row r="46" spans="1:13" ht="15.75" thickBot="1">
      <c r="A46" s="24">
        <v>4</v>
      </c>
      <c r="B46" s="191" t="s">
        <v>79</v>
      </c>
      <c r="C46" s="489"/>
      <c r="D46" s="86">
        <f>'BILANS 2022'!D46</f>
        <v>0</v>
      </c>
      <c r="E46" s="231">
        <f t="shared" si="0"/>
        <v>0</v>
      </c>
      <c r="F46" s="183" t="e">
        <f t="shared" si="1"/>
        <v>#DIV/0!</v>
      </c>
      <c r="G46" s="226"/>
      <c r="H46" s="219"/>
      <c r="I46" s="31" t="s">
        <v>76</v>
      </c>
      <c r="J46" s="493"/>
      <c r="K46" s="176">
        <f>'BILANS 2022'!K46</f>
        <v>0</v>
      </c>
      <c r="L46" s="165">
        <f t="shared" si="2"/>
        <v>0</v>
      </c>
      <c r="M46" s="166" t="e">
        <f t="shared" si="3"/>
        <v>#DIV/0!</v>
      </c>
    </row>
    <row r="47" spans="1:13">
      <c r="A47" s="8" t="s">
        <v>80</v>
      </c>
      <c r="B47" s="28" t="s">
        <v>81</v>
      </c>
      <c r="C47" s="9">
        <f>C48+C49</f>
        <v>36900</v>
      </c>
      <c r="D47" s="82">
        <f>'BILANS 2022'!D47</f>
        <v>36902.800000000003</v>
      </c>
      <c r="E47" s="9">
        <f t="shared" si="0"/>
        <v>2.8000000000029104</v>
      </c>
      <c r="F47" s="157">
        <f t="shared" si="1"/>
        <v>7.5880758807666954E-5</v>
      </c>
      <c r="G47" s="226"/>
      <c r="H47" s="219"/>
      <c r="I47" s="31" t="s">
        <v>77</v>
      </c>
      <c r="J47" s="493"/>
      <c r="K47" s="176">
        <f>'BILANS 2022'!K47</f>
        <v>0</v>
      </c>
      <c r="L47" s="165">
        <f t="shared" si="2"/>
        <v>0</v>
      </c>
      <c r="M47" s="166" t="e">
        <f t="shared" si="3"/>
        <v>#DIV/0!</v>
      </c>
    </row>
    <row r="48" spans="1:13" ht="30">
      <c r="A48" s="12">
        <v>1</v>
      </c>
      <c r="B48" s="30" t="s">
        <v>82</v>
      </c>
      <c r="C48" s="483"/>
      <c r="D48" s="83">
        <f>'BILANS 2022'!D48</f>
        <v>0</v>
      </c>
      <c r="E48" s="229">
        <f t="shared" si="0"/>
        <v>0</v>
      </c>
      <c r="F48" s="181" t="e">
        <f t="shared" si="1"/>
        <v>#DIV/0!</v>
      </c>
      <c r="G48" s="226"/>
      <c r="H48" s="219" t="s">
        <v>24</v>
      </c>
      <c r="I48" s="33" t="s">
        <v>78</v>
      </c>
      <c r="J48" s="493"/>
      <c r="K48" s="176">
        <f>'BILANS 2022'!K48</f>
        <v>0</v>
      </c>
      <c r="L48" s="165">
        <f t="shared" si="2"/>
        <v>0</v>
      </c>
      <c r="M48" s="166" t="e">
        <f t="shared" si="3"/>
        <v>#DIV/0!</v>
      </c>
    </row>
    <row r="49" spans="1:13" ht="15.75" thickBot="1">
      <c r="A49" s="14">
        <v>2</v>
      </c>
      <c r="B49" s="40" t="s">
        <v>83</v>
      </c>
      <c r="C49" s="485">
        <v>36900</v>
      </c>
      <c r="D49" s="84">
        <f>'BILANS 2022'!D49</f>
        <v>36902.800000000003</v>
      </c>
      <c r="E49" s="231">
        <f t="shared" si="0"/>
        <v>2.8000000000029104</v>
      </c>
      <c r="F49" s="183">
        <f t="shared" si="1"/>
        <v>7.5880758807666954E-5</v>
      </c>
      <c r="G49" s="226"/>
      <c r="H49" s="70">
        <v>3</v>
      </c>
      <c r="I49" s="30" t="s">
        <v>65</v>
      </c>
      <c r="J49" s="13">
        <f>J50+J51+J52+J53+J56+J57+J58+J59+J60</f>
        <v>25000000</v>
      </c>
      <c r="K49" s="173">
        <f>'BILANS 2022'!K49</f>
        <v>26230756.439999998</v>
      </c>
      <c r="L49" s="165">
        <f t="shared" si="2"/>
        <v>1230756.4399999976</v>
      </c>
      <c r="M49" s="166">
        <f t="shared" si="3"/>
        <v>4.9230257599999903E-2</v>
      </c>
    </row>
    <row r="50" spans="1:13">
      <c r="A50" s="34" t="s">
        <v>41</v>
      </c>
      <c r="B50" s="192" t="s">
        <v>84</v>
      </c>
      <c r="C50" s="458">
        <f>C51+C57+C75+C92</f>
        <v>47682000</v>
      </c>
      <c r="D50" s="267">
        <f>'BILANS 2022'!D50</f>
        <v>52107893.539999999</v>
      </c>
      <c r="E50" s="35">
        <f t="shared" si="0"/>
        <v>4425893.5399999991</v>
      </c>
      <c r="F50" s="156">
        <f t="shared" si="1"/>
        <v>9.2821054905415021E-2</v>
      </c>
      <c r="G50" s="226"/>
      <c r="H50" s="70" t="s">
        <v>21</v>
      </c>
      <c r="I50" s="30" t="s">
        <v>67</v>
      </c>
      <c r="J50" s="483">
        <v>189000</v>
      </c>
      <c r="K50" s="173">
        <f>'BILANS 2022'!K50</f>
        <v>0</v>
      </c>
      <c r="L50" s="165">
        <f t="shared" si="2"/>
        <v>-189000</v>
      </c>
      <c r="M50" s="166">
        <f t="shared" si="3"/>
        <v>-1</v>
      </c>
    </row>
    <row r="51" spans="1:13" ht="15.75" thickBot="1">
      <c r="A51" s="36" t="s">
        <v>8</v>
      </c>
      <c r="B51" s="193" t="s">
        <v>85</v>
      </c>
      <c r="C51" s="37">
        <f>C52+C53+C54+C55+C56</f>
        <v>635000</v>
      </c>
      <c r="D51" s="88">
        <f>'BILANS 2022'!D51</f>
        <v>640219.02</v>
      </c>
      <c r="E51" s="232">
        <f t="shared" si="0"/>
        <v>5219.0200000000186</v>
      </c>
      <c r="F51" s="155">
        <f t="shared" si="1"/>
        <v>8.2189291338582975E-3</v>
      </c>
      <c r="G51" s="226"/>
      <c r="H51" s="70" t="s">
        <v>24</v>
      </c>
      <c r="I51" s="30" t="s">
        <v>69</v>
      </c>
      <c r="J51" s="483"/>
      <c r="K51" s="173">
        <f>'BILANS 2022'!K51</f>
        <v>0</v>
      </c>
      <c r="L51" s="165">
        <f t="shared" si="2"/>
        <v>0</v>
      </c>
      <c r="M51" s="166" t="e">
        <f t="shared" si="3"/>
        <v>#DIV/0!</v>
      </c>
    </row>
    <row r="52" spans="1:13">
      <c r="A52" s="38">
        <v>1</v>
      </c>
      <c r="B52" s="66" t="s">
        <v>86</v>
      </c>
      <c r="C52" s="495">
        <v>550000</v>
      </c>
      <c r="D52" s="89">
        <f>'BILANS 2022'!D52</f>
        <v>583232.09</v>
      </c>
      <c r="E52" s="229">
        <f t="shared" si="0"/>
        <v>33232.089999999967</v>
      </c>
      <c r="F52" s="181">
        <f t="shared" si="1"/>
        <v>6.0421981818181758E-2</v>
      </c>
      <c r="G52" s="226"/>
      <c r="H52" s="70" t="s">
        <v>27</v>
      </c>
      <c r="I52" s="30" t="s">
        <v>70</v>
      </c>
      <c r="J52" s="483">
        <v>111000</v>
      </c>
      <c r="K52" s="173">
        <f>'BILANS 2022'!K52</f>
        <v>111334.73</v>
      </c>
      <c r="L52" s="165">
        <f t="shared" si="2"/>
        <v>334.72999999999593</v>
      </c>
      <c r="M52" s="166">
        <f t="shared" si="3"/>
        <v>3.0155855855855487E-3</v>
      </c>
    </row>
    <row r="53" spans="1:13">
      <c r="A53" s="12">
        <v>2</v>
      </c>
      <c r="B53" s="30" t="s">
        <v>87</v>
      </c>
      <c r="C53" s="483"/>
      <c r="D53" s="83">
        <f>'BILANS 2022'!D53</f>
        <v>0</v>
      </c>
      <c r="E53" s="230">
        <f t="shared" si="0"/>
        <v>0</v>
      </c>
      <c r="F53" s="182" t="e">
        <f t="shared" si="1"/>
        <v>#DIV/0!</v>
      </c>
      <c r="G53" s="226"/>
      <c r="H53" s="220" t="s">
        <v>31</v>
      </c>
      <c r="I53" s="177" t="s">
        <v>75</v>
      </c>
      <c r="J53" s="154">
        <f>J54+J55</f>
        <v>6800000</v>
      </c>
      <c r="K53" s="178">
        <f>'BILANS 2022'!K53</f>
        <v>6168628.79</v>
      </c>
      <c r="L53" s="163">
        <f t="shared" si="2"/>
        <v>-631371.21</v>
      </c>
      <c r="M53" s="164">
        <f t="shared" si="3"/>
        <v>-9.2848707352941165E-2</v>
      </c>
    </row>
    <row r="54" spans="1:13">
      <c r="A54" s="12">
        <v>3</v>
      </c>
      <c r="B54" s="30" t="s">
        <v>88</v>
      </c>
      <c r="C54" s="483"/>
      <c r="D54" s="83">
        <f>'BILANS 2022'!D54</f>
        <v>0</v>
      </c>
      <c r="E54" s="230">
        <f t="shared" si="0"/>
        <v>0</v>
      </c>
      <c r="F54" s="182" t="e">
        <f t="shared" si="1"/>
        <v>#DIV/0!</v>
      </c>
      <c r="G54" s="226"/>
      <c r="H54" s="70"/>
      <c r="I54" s="29" t="s">
        <v>76</v>
      </c>
      <c r="J54" s="483">
        <v>6800000</v>
      </c>
      <c r="K54" s="83">
        <f>'BILANS 2022'!K54</f>
        <v>6168628.79</v>
      </c>
      <c r="L54" s="165">
        <f t="shared" si="2"/>
        <v>-631371.21</v>
      </c>
      <c r="M54" s="166">
        <f t="shared" si="3"/>
        <v>-9.2848707352941165E-2</v>
      </c>
    </row>
    <row r="55" spans="1:13">
      <c r="A55" s="198">
        <v>4</v>
      </c>
      <c r="B55" s="177" t="s">
        <v>89</v>
      </c>
      <c r="C55" s="497">
        <v>85000</v>
      </c>
      <c r="D55" s="120">
        <f>'BILANS 2022'!D55</f>
        <v>56986.93</v>
      </c>
      <c r="E55" s="230">
        <f t="shared" si="0"/>
        <v>-28013.07</v>
      </c>
      <c r="F55" s="182">
        <f t="shared" si="1"/>
        <v>-0.3295655294117647</v>
      </c>
      <c r="G55" s="226"/>
      <c r="H55" s="70"/>
      <c r="I55" s="29" t="s">
        <v>77</v>
      </c>
      <c r="J55" s="483"/>
      <c r="K55" s="83">
        <f>'BILANS 2022'!K55</f>
        <v>0</v>
      </c>
      <c r="L55" s="165">
        <f t="shared" si="2"/>
        <v>0</v>
      </c>
      <c r="M55" s="166" t="e">
        <f t="shared" si="3"/>
        <v>#DIV/0!</v>
      </c>
    </row>
    <row r="56" spans="1:13" ht="15.75" thickBot="1">
      <c r="A56" s="14">
        <v>5</v>
      </c>
      <c r="B56" s="194" t="s">
        <v>90</v>
      </c>
      <c r="C56" s="485"/>
      <c r="D56" s="84">
        <f>'BILANS 2022'!D56</f>
        <v>0</v>
      </c>
      <c r="E56" s="231">
        <f t="shared" si="0"/>
        <v>0</v>
      </c>
      <c r="F56" s="183" t="e">
        <f t="shared" si="1"/>
        <v>#DIV/0!</v>
      </c>
      <c r="G56" s="226"/>
      <c r="H56" s="70" t="s">
        <v>35</v>
      </c>
      <c r="I56" s="30" t="s">
        <v>93</v>
      </c>
      <c r="J56" s="483"/>
      <c r="K56" s="83">
        <f>'BILANS 2022'!K56</f>
        <v>0</v>
      </c>
      <c r="L56" s="165">
        <f t="shared" si="2"/>
        <v>0</v>
      </c>
      <c r="M56" s="166" t="e">
        <f t="shared" si="3"/>
        <v>#DIV/0!</v>
      </c>
    </row>
    <row r="57" spans="1:13">
      <c r="A57" s="18" t="s">
        <v>11</v>
      </c>
      <c r="B57" s="184" t="s">
        <v>91</v>
      </c>
      <c r="C57" s="9">
        <f>C58+C63+C68</f>
        <v>6400000</v>
      </c>
      <c r="D57" s="293">
        <f>'BILANS 2022'!D57</f>
        <v>2378142.91</v>
      </c>
      <c r="E57" s="9">
        <f t="shared" si="0"/>
        <v>-4021857.09</v>
      </c>
      <c r="F57" s="157">
        <f t="shared" si="1"/>
        <v>-0.62841517031249994</v>
      </c>
      <c r="G57" s="226"/>
      <c r="H57" s="70" t="s">
        <v>95</v>
      </c>
      <c r="I57" s="30" t="s">
        <v>71</v>
      </c>
      <c r="J57" s="483"/>
      <c r="K57" s="83">
        <f>'BILANS 2022'!K57</f>
        <v>0</v>
      </c>
      <c r="L57" s="165">
        <f t="shared" si="2"/>
        <v>0</v>
      </c>
      <c r="M57" s="166" t="e">
        <f t="shared" si="3"/>
        <v>#DIV/0!</v>
      </c>
    </row>
    <row r="58" spans="1:13" ht="30">
      <c r="A58" s="21">
        <v>1</v>
      </c>
      <c r="B58" s="186" t="s">
        <v>92</v>
      </c>
      <c r="C58" s="22">
        <f>C59+C62</f>
        <v>0</v>
      </c>
      <c r="D58" s="85">
        <f>'BILANS 2022'!D58</f>
        <v>0</v>
      </c>
      <c r="E58" s="229">
        <f t="shared" si="0"/>
        <v>0</v>
      </c>
      <c r="F58" s="181" t="e">
        <f t="shared" si="1"/>
        <v>#DIV/0!</v>
      </c>
      <c r="G58" s="226"/>
      <c r="H58" s="70" t="s">
        <v>96</v>
      </c>
      <c r="I58" s="33" t="s">
        <v>97</v>
      </c>
      <c r="J58" s="483">
        <v>7700000</v>
      </c>
      <c r="K58" s="83">
        <f>'BILANS 2022'!K58</f>
        <v>8920841.1500000004</v>
      </c>
      <c r="L58" s="165">
        <f t="shared" si="2"/>
        <v>1220841.1500000004</v>
      </c>
      <c r="M58" s="166">
        <f t="shared" si="3"/>
        <v>0.15855079870129876</v>
      </c>
    </row>
    <row r="59" spans="1:13">
      <c r="A59" s="12" t="s">
        <v>21</v>
      </c>
      <c r="B59" s="30" t="s">
        <v>94</v>
      </c>
      <c r="C59" s="13">
        <f>C60+C61</f>
        <v>0</v>
      </c>
      <c r="D59" s="83">
        <f>'BILANS 2022'!D59</f>
        <v>0</v>
      </c>
      <c r="E59" s="230">
        <f t="shared" si="0"/>
        <v>0</v>
      </c>
      <c r="F59" s="182" t="e">
        <f t="shared" si="1"/>
        <v>#DIV/0!</v>
      </c>
      <c r="G59" s="226"/>
      <c r="H59" s="70" t="s">
        <v>98</v>
      </c>
      <c r="I59" s="30" t="s">
        <v>99</v>
      </c>
      <c r="J59" s="483">
        <v>5200000</v>
      </c>
      <c r="K59" s="83">
        <f>'BILANS 2022'!K59</f>
        <v>5911346.5099999998</v>
      </c>
      <c r="L59" s="165">
        <f t="shared" si="2"/>
        <v>711346.50999999978</v>
      </c>
      <c r="M59" s="166">
        <f t="shared" si="3"/>
        <v>0.13679740576923072</v>
      </c>
    </row>
    <row r="60" spans="1:13">
      <c r="A60" s="12"/>
      <c r="B60" s="188" t="s">
        <v>76</v>
      </c>
      <c r="C60" s="483"/>
      <c r="D60" s="83">
        <f>'BILANS 2022'!D60</f>
        <v>0</v>
      </c>
      <c r="E60" s="230">
        <f t="shared" si="0"/>
        <v>0</v>
      </c>
      <c r="F60" s="182" t="e">
        <f t="shared" si="1"/>
        <v>#DIV/0!</v>
      </c>
      <c r="G60" s="226"/>
      <c r="H60" s="70" t="s">
        <v>100</v>
      </c>
      <c r="I60" s="30" t="s">
        <v>78</v>
      </c>
      <c r="J60" s="483">
        <v>5000000</v>
      </c>
      <c r="K60" s="83">
        <f>'BILANS 2022'!K60</f>
        <v>5118605.26</v>
      </c>
      <c r="L60" s="165">
        <f t="shared" si="2"/>
        <v>118605.25999999978</v>
      </c>
      <c r="M60" s="166">
        <f t="shared" si="3"/>
        <v>2.3721051999999954E-2</v>
      </c>
    </row>
    <row r="61" spans="1:13" ht="15.75" thickBot="1">
      <c r="A61" s="12"/>
      <c r="B61" s="188" t="s">
        <v>77</v>
      </c>
      <c r="C61" s="483"/>
      <c r="D61" s="83">
        <f>'BILANS 2022'!D61</f>
        <v>0</v>
      </c>
      <c r="E61" s="230">
        <f t="shared" si="0"/>
        <v>0</v>
      </c>
      <c r="F61" s="182" t="e">
        <f t="shared" si="1"/>
        <v>#DIV/0!</v>
      </c>
      <c r="G61" s="226"/>
      <c r="H61" s="70">
        <v>4</v>
      </c>
      <c r="I61" s="30" t="s">
        <v>102</v>
      </c>
      <c r="J61" s="485">
        <v>1500000</v>
      </c>
      <c r="K61" s="83">
        <f>'BILANS 2022'!K61</f>
        <v>1921351.91</v>
      </c>
      <c r="L61" s="169">
        <f t="shared" si="2"/>
        <v>421351.90999999992</v>
      </c>
      <c r="M61" s="170">
        <f t="shared" si="3"/>
        <v>0.28090127333333326</v>
      </c>
    </row>
    <row r="62" spans="1:13">
      <c r="A62" s="12" t="s">
        <v>24</v>
      </c>
      <c r="B62" s="30" t="s">
        <v>78</v>
      </c>
      <c r="C62" s="483"/>
      <c r="D62" s="83">
        <f>'BILANS 2022'!D62</f>
        <v>0</v>
      </c>
      <c r="E62" s="230">
        <f t="shared" si="0"/>
        <v>0</v>
      </c>
      <c r="F62" s="182" t="e">
        <f t="shared" si="1"/>
        <v>#DIV/0!</v>
      </c>
      <c r="G62" s="226"/>
      <c r="H62" s="97" t="s">
        <v>20</v>
      </c>
      <c r="I62" s="28" t="s">
        <v>103</v>
      </c>
      <c r="J62" s="9">
        <f>J63+J64</f>
        <v>12510000</v>
      </c>
      <c r="K62" s="82">
        <f>'BILANS 2022'!K62</f>
        <v>12363592.529999999</v>
      </c>
      <c r="L62" s="174">
        <f t="shared" si="2"/>
        <v>-146407.47000000067</v>
      </c>
      <c r="M62" s="175">
        <f t="shared" si="3"/>
        <v>-1.1703235011990462E-2</v>
      </c>
    </row>
    <row r="63" spans="1:13" ht="30">
      <c r="A63" s="67">
        <v>2</v>
      </c>
      <c r="B63" s="195" t="s">
        <v>101</v>
      </c>
      <c r="C63" s="68">
        <f>C64+C67</f>
        <v>0</v>
      </c>
      <c r="D63" s="90">
        <f>'BILANS 2022'!D63</f>
        <v>0</v>
      </c>
      <c r="E63" s="230">
        <f t="shared" si="0"/>
        <v>0</v>
      </c>
      <c r="F63" s="182" t="e">
        <f t="shared" si="1"/>
        <v>#DIV/0!</v>
      </c>
      <c r="G63" s="226"/>
      <c r="H63" s="70">
        <v>1</v>
      </c>
      <c r="I63" s="30" t="s">
        <v>104</v>
      </c>
      <c r="J63" s="483"/>
      <c r="K63" s="83">
        <f>'BILANS 2022'!K63</f>
        <v>0</v>
      </c>
      <c r="L63" s="163">
        <f t="shared" si="2"/>
        <v>0</v>
      </c>
      <c r="M63" s="164" t="e">
        <f t="shared" si="3"/>
        <v>#DIV/0!</v>
      </c>
    </row>
    <row r="64" spans="1:13">
      <c r="A64" s="69" t="s">
        <v>21</v>
      </c>
      <c r="B64" s="33" t="s">
        <v>94</v>
      </c>
      <c r="C64" s="32">
        <f>C65+C66</f>
        <v>0</v>
      </c>
      <c r="D64" s="87">
        <f>'BILANS 2022'!D64</f>
        <v>0</v>
      </c>
      <c r="E64" s="230">
        <f t="shared" si="0"/>
        <v>0</v>
      </c>
      <c r="F64" s="182" t="e">
        <f t="shared" si="1"/>
        <v>#DIV/0!</v>
      </c>
      <c r="G64" s="226"/>
      <c r="H64" s="70">
        <v>2</v>
      </c>
      <c r="I64" s="30" t="s">
        <v>83</v>
      </c>
      <c r="J64" s="13">
        <f>J65+J66</f>
        <v>12510000</v>
      </c>
      <c r="K64" s="173">
        <f>'BILANS 2022'!K64</f>
        <v>12363592.529999999</v>
      </c>
      <c r="L64" s="165">
        <f t="shared" si="2"/>
        <v>-146407.47000000067</v>
      </c>
      <c r="M64" s="166">
        <f t="shared" si="3"/>
        <v>-1.1703235011990462E-2</v>
      </c>
    </row>
    <row r="65" spans="1:13">
      <c r="A65" s="69"/>
      <c r="B65" s="190" t="s">
        <v>76</v>
      </c>
      <c r="C65" s="493"/>
      <c r="D65" s="87">
        <f>'BILANS 2022'!D65</f>
        <v>0</v>
      </c>
      <c r="E65" s="230">
        <f t="shared" si="0"/>
        <v>0</v>
      </c>
      <c r="F65" s="182" t="e">
        <f t="shared" si="1"/>
        <v>#DIV/0!</v>
      </c>
      <c r="G65" s="226"/>
      <c r="H65" s="70"/>
      <c r="I65" s="30" t="s">
        <v>55</v>
      </c>
      <c r="J65" s="483">
        <v>10500000</v>
      </c>
      <c r="K65" s="83">
        <f>'BILANS 2022'!K65</f>
        <v>9800407.3599999994</v>
      </c>
      <c r="L65" s="165">
        <f t="shared" si="2"/>
        <v>-699592.6400000006</v>
      </c>
      <c r="M65" s="166">
        <f t="shared" si="3"/>
        <v>-6.6627870476190537E-2</v>
      </c>
    </row>
    <row r="66" spans="1:13">
      <c r="A66" s="69"/>
      <c r="B66" s="190" t="s">
        <v>77</v>
      </c>
      <c r="C66" s="493"/>
      <c r="D66" s="87">
        <f>'BILANS 2022'!D66</f>
        <v>0</v>
      </c>
      <c r="E66" s="230">
        <f t="shared" si="0"/>
        <v>0</v>
      </c>
      <c r="F66" s="182" t="e">
        <f t="shared" si="1"/>
        <v>#DIV/0!</v>
      </c>
      <c r="G66" s="226"/>
      <c r="H66" s="70"/>
      <c r="I66" s="30" t="s">
        <v>56</v>
      </c>
      <c r="J66" s="483">
        <v>2010000</v>
      </c>
      <c r="K66" s="83">
        <f>'BILANS 2022'!K66</f>
        <v>2563185.17</v>
      </c>
      <c r="L66" s="165">
        <f t="shared" si="2"/>
        <v>553185.16999999993</v>
      </c>
      <c r="M66" s="166">
        <f t="shared" si="3"/>
        <v>0.27521650248756213</v>
      </c>
    </row>
    <row r="67" spans="1:13">
      <c r="A67" s="69" t="s">
        <v>24</v>
      </c>
      <c r="B67" s="33" t="s">
        <v>78</v>
      </c>
      <c r="C67" s="493"/>
      <c r="D67" s="87">
        <f>'BILANS 2022'!D67</f>
        <v>0</v>
      </c>
      <c r="E67" s="230">
        <f t="shared" si="0"/>
        <v>0</v>
      </c>
      <c r="F67" s="182" t="e">
        <f t="shared" si="1"/>
        <v>#DIV/0!</v>
      </c>
      <c r="G67" s="226"/>
      <c r="H67" s="70"/>
      <c r="I67" s="30"/>
      <c r="J67" s="483"/>
      <c r="K67" s="83"/>
      <c r="L67" s="165"/>
      <c r="M67" s="166"/>
    </row>
    <row r="68" spans="1:13">
      <c r="A68" s="21">
        <v>3</v>
      </c>
      <c r="B68" s="186" t="s">
        <v>105</v>
      </c>
      <c r="C68" s="22">
        <f>C69+C72+C73+C74</f>
        <v>6400000</v>
      </c>
      <c r="D68" s="85">
        <f>'BILANS 2022'!D68</f>
        <v>2378142.91</v>
      </c>
      <c r="E68" s="230">
        <f t="shared" si="0"/>
        <v>-4021857.09</v>
      </c>
      <c r="F68" s="182">
        <f t="shared" si="1"/>
        <v>-0.62841517031249994</v>
      </c>
      <c r="G68" s="226"/>
      <c r="H68" s="70"/>
      <c r="I68" s="30"/>
      <c r="J68" s="483"/>
      <c r="K68" s="83"/>
      <c r="L68" s="165"/>
      <c r="M68" s="166"/>
    </row>
    <row r="69" spans="1:13">
      <c r="A69" s="12" t="s">
        <v>21</v>
      </c>
      <c r="B69" s="30" t="s">
        <v>94</v>
      </c>
      <c r="C69" s="13">
        <f>C70+C71</f>
        <v>6050000</v>
      </c>
      <c r="D69" s="83">
        <f>'BILANS 2022'!D69</f>
        <v>1920647.79</v>
      </c>
      <c r="E69" s="230">
        <f t="shared" si="0"/>
        <v>-4129352.21</v>
      </c>
      <c r="F69" s="182">
        <f t="shared" si="1"/>
        <v>-0.68253755537190086</v>
      </c>
      <c r="G69" s="226"/>
      <c r="H69" s="70"/>
      <c r="I69" s="30"/>
      <c r="J69" s="483"/>
      <c r="K69" s="83"/>
      <c r="L69" s="165"/>
      <c r="M69" s="166"/>
    </row>
    <row r="70" spans="1:13">
      <c r="A70" s="12"/>
      <c r="B70" s="188" t="s">
        <v>76</v>
      </c>
      <c r="C70" s="483">
        <v>6050000</v>
      </c>
      <c r="D70" s="83">
        <f>'BILANS 2022'!D70</f>
        <v>1920647.79</v>
      </c>
      <c r="E70" s="230">
        <f t="shared" si="0"/>
        <v>-4129352.21</v>
      </c>
      <c r="F70" s="182">
        <f t="shared" si="1"/>
        <v>-0.68253755537190086</v>
      </c>
      <c r="G70" s="226"/>
      <c r="H70" s="70"/>
      <c r="I70" s="30"/>
      <c r="J70" s="483"/>
      <c r="K70" s="83"/>
      <c r="L70" s="165"/>
      <c r="M70" s="166"/>
    </row>
    <row r="71" spans="1:13">
      <c r="A71" s="12"/>
      <c r="B71" s="188" t="s">
        <v>77</v>
      </c>
      <c r="C71" s="483"/>
      <c r="D71" s="83">
        <f>'BILANS 2022'!D71</f>
        <v>0</v>
      </c>
      <c r="E71" s="230">
        <f t="shared" si="0"/>
        <v>0</v>
      </c>
      <c r="F71" s="182" t="e">
        <f t="shared" si="1"/>
        <v>#DIV/0!</v>
      </c>
      <c r="G71" s="226"/>
      <c r="H71" s="70"/>
      <c r="I71" s="30"/>
      <c r="J71" s="483"/>
      <c r="K71" s="83"/>
      <c r="L71" s="165"/>
      <c r="M71" s="166"/>
    </row>
    <row r="72" spans="1:13" ht="30">
      <c r="A72" s="12" t="s">
        <v>24</v>
      </c>
      <c r="B72" s="30" t="s">
        <v>106</v>
      </c>
      <c r="C72" s="483"/>
      <c r="D72" s="83">
        <f>'BILANS 2022'!D72</f>
        <v>0</v>
      </c>
      <c r="E72" s="230">
        <f t="shared" si="0"/>
        <v>0</v>
      </c>
      <c r="F72" s="182" t="e">
        <f t="shared" si="1"/>
        <v>#DIV/0!</v>
      </c>
      <c r="G72" s="226"/>
      <c r="H72" s="70"/>
      <c r="I72" s="30"/>
      <c r="J72" s="483"/>
      <c r="K72" s="83"/>
      <c r="L72" s="165"/>
      <c r="M72" s="166"/>
    </row>
    <row r="73" spans="1:13">
      <c r="A73" s="12" t="s">
        <v>27</v>
      </c>
      <c r="B73" s="30" t="s">
        <v>78</v>
      </c>
      <c r="C73" s="483">
        <v>350000</v>
      </c>
      <c r="D73" s="83">
        <f>'BILANS 2022'!D73</f>
        <v>457495.12</v>
      </c>
      <c r="E73" s="230">
        <f t="shared" ref="E73:E95" si="4">D73-C73</f>
        <v>107495.12</v>
      </c>
      <c r="F73" s="182">
        <f t="shared" ref="F73:F95" si="5">E73/C73</f>
        <v>0.30712891428571426</v>
      </c>
      <c r="G73" s="226"/>
      <c r="H73" s="70"/>
      <c r="I73" s="30"/>
      <c r="J73" s="483"/>
      <c r="K73" s="83"/>
      <c r="L73" s="165"/>
      <c r="M73" s="166"/>
    </row>
    <row r="74" spans="1:13" ht="15.75" thickBot="1">
      <c r="A74" s="223" t="s">
        <v>31</v>
      </c>
      <c r="B74" s="196" t="s">
        <v>107</v>
      </c>
      <c r="C74" s="485"/>
      <c r="D74" s="84">
        <f>'BILANS 2022'!D74</f>
        <v>0</v>
      </c>
      <c r="E74" s="231">
        <f t="shared" si="4"/>
        <v>0</v>
      </c>
      <c r="F74" s="183" t="e">
        <f t="shared" si="5"/>
        <v>#DIV/0!</v>
      </c>
      <c r="G74" s="226"/>
      <c r="H74" s="70"/>
      <c r="I74" s="30"/>
      <c r="J74" s="13"/>
      <c r="K74" s="83"/>
      <c r="L74" s="165"/>
      <c r="M74" s="166"/>
    </row>
    <row r="75" spans="1:13">
      <c r="A75" s="8" t="s">
        <v>16</v>
      </c>
      <c r="B75" s="28" t="s">
        <v>108</v>
      </c>
      <c r="C75" s="9">
        <f>C76+C91</f>
        <v>40500000</v>
      </c>
      <c r="D75" s="82">
        <f>'BILANS 2022'!D75</f>
        <v>48957908.689999998</v>
      </c>
      <c r="E75" s="9">
        <f t="shared" si="4"/>
        <v>8457908.6899999976</v>
      </c>
      <c r="F75" s="157">
        <f t="shared" si="5"/>
        <v>0.20883725160493821</v>
      </c>
      <c r="G75" s="226"/>
      <c r="H75" s="70"/>
      <c r="I75" s="30"/>
      <c r="J75" s="13"/>
      <c r="K75" s="83"/>
      <c r="L75" s="165"/>
      <c r="M75" s="166"/>
    </row>
    <row r="76" spans="1:13">
      <c r="A76" s="21">
        <v>1</v>
      </c>
      <c r="B76" s="186" t="s">
        <v>109</v>
      </c>
      <c r="C76" s="22">
        <f>C77+C82+C87</f>
        <v>40500000</v>
      </c>
      <c r="D76" s="85">
        <f>'BILANS 2022'!D76</f>
        <v>48957908.689999998</v>
      </c>
      <c r="E76" s="229">
        <f t="shared" si="4"/>
        <v>8457908.6899999976</v>
      </c>
      <c r="F76" s="181">
        <f t="shared" si="5"/>
        <v>0.20883725160493821</v>
      </c>
      <c r="G76" s="226"/>
      <c r="H76" s="70"/>
      <c r="I76" s="30"/>
      <c r="J76" s="13"/>
      <c r="K76" s="83"/>
      <c r="L76" s="165"/>
      <c r="M76" s="166"/>
    </row>
    <row r="77" spans="1:13">
      <c r="A77" s="12" t="s">
        <v>21</v>
      </c>
      <c r="B77" s="188" t="s">
        <v>59</v>
      </c>
      <c r="C77" s="13">
        <f>SUM(C78:C81)</f>
        <v>0</v>
      </c>
      <c r="D77" s="83">
        <f>'BILANS 2022'!D77</f>
        <v>0</v>
      </c>
      <c r="E77" s="230">
        <f t="shared" si="4"/>
        <v>0</v>
      </c>
      <c r="F77" s="182" t="e">
        <f t="shared" si="5"/>
        <v>#DIV/0!</v>
      </c>
      <c r="G77" s="226"/>
      <c r="H77" s="70"/>
      <c r="I77" s="30"/>
      <c r="J77" s="13"/>
      <c r="K77" s="83"/>
      <c r="L77" s="165"/>
      <c r="M77" s="166"/>
    </row>
    <row r="78" spans="1:13">
      <c r="A78" s="12"/>
      <c r="B78" s="188" t="s">
        <v>61</v>
      </c>
      <c r="C78" s="483"/>
      <c r="D78" s="83">
        <f>'BILANS 2022'!D78</f>
        <v>0</v>
      </c>
      <c r="E78" s="230">
        <f t="shared" si="4"/>
        <v>0</v>
      </c>
      <c r="F78" s="182" t="e">
        <f t="shared" si="5"/>
        <v>#DIV/0!</v>
      </c>
      <c r="G78" s="226"/>
      <c r="H78" s="70"/>
      <c r="I78" s="30"/>
      <c r="J78" s="13"/>
      <c r="K78" s="83"/>
      <c r="L78" s="165"/>
      <c r="M78" s="166"/>
    </row>
    <row r="79" spans="1:13">
      <c r="A79" s="12"/>
      <c r="B79" s="188" t="s">
        <v>63</v>
      </c>
      <c r="C79" s="483"/>
      <c r="D79" s="83">
        <f>'BILANS 2022'!D79</f>
        <v>0</v>
      </c>
      <c r="E79" s="230">
        <f t="shared" si="4"/>
        <v>0</v>
      </c>
      <c r="F79" s="182" t="e">
        <f t="shared" si="5"/>
        <v>#DIV/0!</v>
      </c>
      <c r="G79" s="226"/>
      <c r="H79" s="70"/>
      <c r="I79" s="30"/>
      <c r="J79" s="13"/>
      <c r="K79" s="83"/>
      <c r="L79" s="165"/>
      <c r="M79" s="166"/>
    </row>
    <row r="80" spans="1:13">
      <c r="A80" s="12"/>
      <c r="B80" s="188" t="s">
        <v>64</v>
      </c>
      <c r="C80" s="483"/>
      <c r="D80" s="83">
        <f>'BILANS 2022'!D80</f>
        <v>0</v>
      </c>
      <c r="E80" s="230">
        <f t="shared" si="4"/>
        <v>0</v>
      </c>
      <c r="F80" s="182" t="e">
        <f t="shared" si="5"/>
        <v>#DIV/0!</v>
      </c>
      <c r="G80" s="226"/>
      <c r="H80" s="70"/>
      <c r="I80" s="30"/>
      <c r="J80" s="13"/>
      <c r="K80" s="83"/>
      <c r="L80" s="165"/>
      <c r="M80" s="166"/>
    </row>
    <row r="81" spans="1:13">
      <c r="A81" s="12"/>
      <c r="B81" s="30" t="s">
        <v>110</v>
      </c>
      <c r="C81" s="483"/>
      <c r="D81" s="83">
        <f>'BILANS 2022'!D81</f>
        <v>0</v>
      </c>
      <c r="E81" s="230">
        <f t="shared" si="4"/>
        <v>0</v>
      </c>
      <c r="F81" s="182" t="e">
        <f t="shared" si="5"/>
        <v>#DIV/0!</v>
      </c>
      <c r="G81" s="226"/>
      <c r="H81" s="70"/>
      <c r="I81" s="30"/>
      <c r="J81" s="13"/>
      <c r="K81" s="83"/>
      <c r="L81" s="165"/>
      <c r="M81" s="166"/>
    </row>
    <row r="82" spans="1:13">
      <c r="A82" s="12" t="s">
        <v>24</v>
      </c>
      <c r="B82" s="188" t="s">
        <v>74</v>
      </c>
      <c r="C82" s="13">
        <f>SUM(C83:C86)</f>
        <v>0</v>
      </c>
      <c r="D82" s="83">
        <f>'BILANS 2022'!D82</f>
        <v>0</v>
      </c>
      <c r="E82" s="230">
        <f t="shared" si="4"/>
        <v>0</v>
      </c>
      <c r="F82" s="182" t="e">
        <f t="shared" si="5"/>
        <v>#DIV/0!</v>
      </c>
      <c r="G82" s="226"/>
      <c r="H82" s="70"/>
      <c r="I82" s="30"/>
      <c r="J82" s="13"/>
      <c r="K82" s="83"/>
      <c r="L82" s="165"/>
      <c r="M82" s="166"/>
    </row>
    <row r="83" spans="1:13">
      <c r="A83" s="12"/>
      <c r="B83" s="188" t="s">
        <v>61</v>
      </c>
      <c r="C83" s="483"/>
      <c r="D83" s="83">
        <f>'BILANS 2022'!D83</f>
        <v>0</v>
      </c>
      <c r="E83" s="230">
        <f t="shared" si="4"/>
        <v>0</v>
      </c>
      <c r="F83" s="182" t="e">
        <f t="shared" si="5"/>
        <v>#DIV/0!</v>
      </c>
      <c r="G83" s="226"/>
      <c r="H83" s="70"/>
      <c r="I83" s="30"/>
      <c r="J83" s="13"/>
      <c r="K83" s="83"/>
      <c r="L83" s="165"/>
      <c r="M83" s="166"/>
    </row>
    <row r="84" spans="1:13">
      <c r="A84" s="12"/>
      <c r="B84" s="188" t="s">
        <v>63</v>
      </c>
      <c r="C84" s="483"/>
      <c r="D84" s="83">
        <f>'BILANS 2022'!D84</f>
        <v>0</v>
      </c>
      <c r="E84" s="230">
        <f t="shared" si="4"/>
        <v>0</v>
      </c>
      <c r="F84" s="182" t="e">
        <f t="shared" si="5"/>
        <v>#DIV/0!</v>
      </c>
      <c r="G84" s="226"/>
      <c r="H84" s="70"/>
      <c r="I84" s="30"/>
      <c r="J84" s="13"/>
      <c r="K84" s="83"/>
      <c r="L84" s="165"/>
      <c r="M84" s="166"/>
    </row>
    <row r="85" spans="1:13">
      <c r="A85" s="12"/>
      <c r="B85" s="188" t="s">
        <v>64</v>
      </c>
      <c r="C85" s="483"/>
      <c r="D85" s="83">
        <f>'BILANS 2022'!D85</f>
        <v>0</v>
      </c>
      <c r="E85" s="230">
        <f t="shared" si="4"/>
        <v>0</v>
      </c>
      <c r="F85" s="182" t="e">
        <f t="shared" si="5"/>
        <v>#DIV/0!</v>
      </c>
      <c r="G85" s="226"/>
      <c r="H85" s="70"/>
      <c r="I85" s="30"/>
      <c r="J85" s="13"/>
      <c r="K85" s="83"/>
      <c r="L85" s="165"/>
      <c r="M85" s="166"/>
    </row>
    <row r="86" spans="1:13">
      <c r="A86" s="12"/>
      <c r="B86" s="30" t="s">
        <v>110</v>
      </c>
      <c r="C86" s="483"/>
      <c r="D86" s="83">
        <f>'BILANS 2022'!D86</f>
        <v>0</v>
      </c>
      <c r="E86" s="230">
        <f t="shared" si="4"/>
        <v>0</v>
      </c>
      <c r="F86" s="182" t="e">
        <f t="shared" si="5"/>
        <v>#DIV/0!</v>
      </c>
      <c r="G86" s="226"/>
      <c r="H86" s="70"/>
      <c r="I86" s="30"/>
      <c r="J86" s="13"/>
      <c r="K86" s="83"/>
      <c r="L86" s="165"/>
      <c r="M86" s="166"/>
    </row>
    <row r="87" spans="1:13">
      <c r="A87" s="12" t="s">
        <v>27</v>
      </c>
      <c r="B87" s="30" t="s">
        <v>111</v>
      </c>
      <c r="C87" s="13">
        <f>SUM(C88:C90)</f>
        <v>40500000</v>
      </c>
      <c r="D87" s="83">
        <f>'BILANS 2022'!D87</f>
        <v>48957908.689999998</v>
      </c>
      <c r="E87" s="230">
        <f t="shared" si="4"/>
        <v>8457908.6899999976</v>
      </c>
      <c r="F87" s="182">
        <f t="shared" si="5"/>
        <v>0.20883725160493821</v>
      </c>
      <c r="G87" s="226"/>
      <c r="H87" s="70"/>
      <c r="I87" s="30"/>
      <c r="J87" s="13"/>
      <c r="K87" s="83"/>
      <c r="L87" s="165"/>
      <c r="M87" s="166"/>
    </row>
    <row r="88" spans="1:13">
      <c r="A88" s="12"/>
      <c r="B88" s="30" t="s">
        <v>112</v>
      </c>
      <c r="C88" s="483">
        <v>40500000</v>
      </c>
      <c r="D88" s="83">
        <f>'BILANS 2022'!D88</f>
        <v>24823282.969999999</v>
      </c>
      <c r="E88" s="230">
        <f t="shared" si="4"/>
        <v>-15676717.030000001</v>
      </c>
      <c r="F88" s="182">
        <f t="shared" si="5"/>
        <v>-0.38707943283950619</v>
      </c>
      <c r="G88" s="226"/>
      <c r="H88" s="70"/>
      <c r="I88" s="30"/>
      <c r="J88" s="13"/>
      <c r="K88" s="83"/>
      <c r="L88" s="165"/>
      <c r="M88" s="166"/>
    </row>
    <row r="89" spans="1:13">
      <c r="A89" s="12"/>
      <c r="B89" s="188" t="s">
        <v>113</v>
      </c>
      <c r="C89" s="483"/>
      <c r="D89" s="83">
        <f>'BILANS 2022'!D89</f>
        <v>24134625.719999999</v>
      </c>
      <c r="E89" s="230">
        <f t="shared" si="4"/>
        <v>24134625.719999999</v>
      </c>
      <c r="F89" s="182" t="e">
        <f t="shared" si="5"/>
        <v>#DIV/0!</v>
      </c>
      <c r="G89" s="226"/>
      <c r="H89" s="70"/>
      <c r="I89" s="30"/>
      <c r="J89" s="13"/>
      <c r="K89" s="83"/>
      <c r="L89" s="165"/>
      <c r="M89" s="166"/>
    </row>
    <row r="90" spans="1:13">
      <c r="A90" s="12"/>
      <c r="B90" s="188" t="s">
        <v>114</v>
      </c>
      <c r="C90" s="483"/>
      <c r="D90" s="83">
        <f>'BILANS 2022'!D90</f>
        <v>0</v>
      </c>
      <c r="E90" s="230">
        <f t="shared" si="4"/>
        <v>0</v>
      </c>
      <c r="F90" s="182" t="e">
        <f t="shared" si="5"/>
        <v>#DIV/0!</v>
      </c>
      <c r="G90" s="226"/>
      <c r="H90" s="70"/>
      <c r="I90" s="30"/>
      <c r="J90" s="13"/>
      <c r="K90" s="83"/>
      <c r="L90" s="165"/>
      <c r="M90" s="166"/>
    </row>
    <row r="91" spans="1:13" ht="15.75" thickBot="1">
      <c r="A91" s="71">
        <v>2</v>
      </c>
      <c r="B91" s="187" t="s">
        <v>115</v>
      </c>
      <c r="C91" s="489"/>
      <c r="D91" s="86">
        <f>'BILANS 2022'!D91</f>
        <v>0</v>
      </c>
      <c r="E91" s="231">
        <f t="shared" si="4"/>
        <v>0</v>
      </c>
      <c r="F91" s="183" t="e">
        <f t="shared" si="5"/>
        <v>#DIV/0!</v>
      </c>
      <c r="G91" s="227"/>
      <c r="H91" s="30"/>
      <c r="I91" s="30"/>
      <c r="J91" s="13"/>
      <c r="K91" s="83"/>
      <c r="L91" s="165"/>
      <c r="M91" s="166"/>
    </row>
    <row r="92" spans="1:13" ht="15.75" thickBot="1">
      <c r="A92" s="8" t="s">
        <v>20</v>
      </c>
      <c r="B92" s="28" t="s">
        <v>116</v>
      </c>
      <c r="C92" s="499">
        <v>147000</v>
      </c>
      <c r="D92" s="91">
        <f>'BILANS 2022'!D92</f>
        <v>131622.92000000001</v>
      </c>
      <c r="E92" s="123">
        <f t="shared" si="4"/>
        <v>-15377.079999999987</v>
      </c>
      <c r="F92" s="124">
        <f t="shared" si="5"/>
        <v>-0.10460598639455773</v>
      </c>
      <c r="G92" s="227"/>
      <c r="H92" s="30"/>
      <c r="I92" s="30"/>
      <c r="J92" s="13"/>
      <c r="K92" s="83"/>
      <c r="L92" s="165"/>
      <c r="M92" s="166"/>
    </row>
    <row r="93" spans="1:13" ht="15.75" thickBot="1">
      <c r="A93" s="8" t="s">
        <v>247</v>
      </c>
      <c r="B93" s="266" t="s">
        <v>248</v>
      </c>
      <c r="C93" s="499"/>
      <c r="D93" s="91">
        <f>'BILANS 2022'!D93</f>
        <v>0</v>
      </c>
      <c r="E93" s="123">
        <f t="shared" si="4"/>
        <v>0</v>
      </c>
      <c r="F93" s="124" t="e">
        <f t="shared" si="5"/>
        <v>#DIV/0!</v>
      </c>
      <c r="G93" s="227"/>
      <c r="H93" s="30"/>
      <c r="I93" s="30"/>
      <c r="J93" s="13"/>
      <c r="K93" s="83"/>
      <c r="L93" s="165"/>
      <c r="M93" s="166"/>
    </row>
    <row r="94" spans="1:13" ht="15.75" thickBot="1">
      <c r="A94" s="8" t="s">
        <v>249</v>
      </c>
      <c r="B94" s="266" t="s">
        <v>250</v>
      </c>
      <c r="C94" s="499"/>
      <c r="D94" s="91">
        <f>'BILANS 2022'!D94</f>
        <v>0</v>
      </c>
      <c r="E94" s="123">
        <f t="shared" si="4"/>
        <v>0</v>
      </c>
      <c r="F94" s="124" t="e">
        <f t="shared" si="5"/>
        <v>#DIV/0!</v>
      </c>
      <c r="G94" s="227"/>
      <c r="H94" s="30"/>
      <c r="I94" s="30"/>
      <c r="J94" s="13"/>
      <c r="K94" s="83"/>
      <c r="L94" s="165"/>
      <c r="M94" s="166"/>
    </row>
    <row r="95" spans="1:13" ht="30.75" thickBot="1">
      <c r="A95" s="152"/>
      <c r="B95" s="78" t="s">
        <v>203</v>
      </c>
      <c r="C95" s="79">
        <f>C8+C50+C93+C94</f>
        <v>78464670.700000003</v>
      </c>
      <c r="D95" s="92">
        <f>'BILANS 2022'!D95</f>
        <v>80810092.530000001</v>
      </c>
      <c r="E95" s="233">
        <f t="shared" si="4"/>
        <v>2345421.8299999982</v>
      </c>
      <c r="F95" s="197">
        <f t="shared" si="5"/>
        <v>2.9891437879952742E-2</v>
      </c>
      <c r="G95" s="227"/>
      <c r="H95" s="152"/>
      <c r="I95" s="78" t="s">
        <v>204</v>
      </c>
      <c r="J95" s="79">
        <f>J8+J20</f>
        <v>78464670.700000003</v>
      </c>
      <c r="K95" s="92">
        <f>'BILANS 2022'!K95</f>
        <v>80810092.530000001</v>
      </c>
      <c r="L95" s="121">
        <f t="shared" ref="L95" si="6">K95-J95</f>
        <v>2345421.8299999982</v>
      </c>
      <c r="M95" s="122">
        <f t="shared" ref="M95" si="7">L95/J95</f>
        <v>2.9891437879952742E-2</v>
      </c>
    </row>
    <row r="96" spans="1:13">
      <c r="A96" s="224"/>
      <c r="B96" s="1"/>
      <c r="C96" s="1"/>
      <c r="D96" s="1"/>
      <c r="E96" s="1"/>
      <c r="F96" s="1"/>
      <c r="G96" s="1"/>
      <c r="H96" s="152"/>
      <c r="I96" s="1"/>
      <c r="J96" s="41"/>
      <c r="K96" s="41"/>
    </row>
    <row r="97" spans="1:13" ht="45" customHeight="1">
      <c r="A97" s="152"/>
      <c r="B97" s="2"/>
      <c r="C97" s="2"/>
      <c r="D97" s="2"/>
      <c r="E97" s="2"/>
      <c r="F97" s="2"/>
      <c r="G97" s="2"/>
      <c r="H97" s="152"/>
      <c r="I97" s="2"/>
      <c r="J97" s="2"/>
      <c r="K97" s="2"/>
    </row>
    <row r="98" spans="1:13">
      <c r="A98" s="74"/>
      <c r="B98" s="74" t="s">
        <v>118</v>
      </c>
      <c r="C98" s="74"/>
      <c r="D98" s="686" t="s">
        <v>118</v>
      </c>
      <c r="E98" s="686"/>
      <c r="F98" s="686"/>
      <c r="G98" s="42"/>
      <c r="I98" s="74" t="s">
        <v>118</v>
      </c>
      <c r="J98" s="74"/>
      <c r="K98" s="686" t="s">
        <v>118</v>
      </c>
      <c r="L98" s="686"/>
      <c r="M98" s="686"/>
    </row>
    <row r="99" spans="1:13">
      <c r="B99" s="73" t="s">
        <v>207</v>
      </c>
      <c r="C99" s="73"/>
      <c r="D99" s="685" t="s">
        <v>119</v>
      </c>
      <c r="E99" s="685"/>
      <c r="F99" s="685"/>
      <c r="G99" s="65"/>
      <c r="I99" s="73" t="s">
        <v>207</v>
      </c>
      <c r="J99" s="73"/>
      <c r="K99" s="685" t="s">
        <v>119</v>
      </c>
      <c r="L99" s="685"/>
      <c r="M99" s="685"/>
    </row>
    <row r="100" spans="1:13">
      <c r="A100" s="152"/>
      <c r="B100" s="2"/>
      <c r="C100" s="2"/>
      <c r="D100" s="2"/>
      <c r="E100" s="2"/>
      <c r="F100" s="2"/>
      <c r="G100" s="2"/>
      <c r="H100" s="152"/>
      <c r="I100" s="2"/>
      <c r="J100" s="2"/>
      <c r="K100" s="2"/>
    </row>
    <row r="101" spans="1:13" hidden="1"/>
    <row r="102" spans="1:13" hidden="1"/>
    <row r="103" spans="1:13" hidden="1"/>
    <row r="104" spans="1:13" s="42" customFormat="1" ht="30" hidden="1">
      <c r="A104" s="43"/>
      <c r="B104" s="148" t="s">
        <v>263</v>
      </c>
      <c r="C104" s="377">
        <f>J21+J29+J38</f>
        <v>44458000</v>
      </c>
      <c r="D104" s="377">
        <f>K21+K29+K38</f>
        <v>45804657.169999994</v>
      </c>
      <c r="H104" s="43"/>
    </row>
    <row r="105" spans="1:13" s="42" customFormat="1" hidden="1">
      <c r="A105" s="43"/>
      <c r="H105" s="43"/>
    </row>
    <row r="106" spans="1:13" s="42" customFormat="1" hidden="1">
      <c r="A106" s="43"/>
      <c r="B106" s="42" t="s">
        <v>266</v>
      </c>
      <c r="C106" s="378">
        <f>J8</f>
        <v>21496670.699999999</v>
      </c>
      <c r="D106" s="378">
        <f>K8</f>
        <v>22641842.829999998</v>
      </c>
      <c r="H106" s="43"/>
    </row>
    <row r="107" spans="1:13" s="42" customFormat="1" hidden="1">
      <c r="A107" s="43"/>
      <c r="H107" s="43"/>
    </row>
    <row r="108" spans="1:13" s="42" customFormat="1" hidden="1">
      <c r="A108" s="43"/>
      <c r="C108" s="344">
        <f>C104/C106</f>
        <v>2.0681342064750519</v>
      </c>
      <c r="D108" s="344">
        <f>D104/D106</f>
        <v>2.0230092362141883</v>
      </c>
      <c r="H108" s="43"/>
    </row>
    <row r="109" spans="1:13" s="42" customFormat="1" hidden="1">
      <c r="A109" s="43"/>
      <c r="H109" s="43"/>
    </row>
    <row r="110" spans="1:13" s="42" customFormat="1" hidden="1">
      <c r="A110" s="43"/>
      <c r="B110" s="379" t="s">
        <v>267</v>
      </c>
      <c r="C110" s="380">
        <f>C111/C112</f>
        <v>1.5018957345971564</v>
      </c>
      <c r="D110" s="380">
        <f>D111/D112</f>
        <v>1.4866639893906677</v>
      </c>
      <c r="H110" s="43"/>
    </row>
    <row r="111" spans="1:13" s="42" customFormat="1" ht="60" hidden="1">
      <c r="A111" s="43"/>
      <c r="B111" s="381" t="s">
        <v>268</v>
      </c>
      <c r="C111" s="377">
        <f>C50-C71-C92</f>
        <v>47535000</v>
      </c>
      <c r="D111" s="377">
        <f>D50-D71-D92</f>
        <v>51976270.619999997</v>
      </c>
      <c r="F111" s="382">
        <f>(D111-C111)/C111</f>
        <v>9.3431589775954504E-2</v>
      </c>
      <c r="H111" s="43"/>
    </row>
    <row r="112" spans="1:13" s="42" customFormat="1" ht="60" hidden="1">
      <c r="A112" s="43"/>
      <c r="B112" s="383" t="s">
        <v>269</v>
      </c>
      <c r="C112" s="377">
        <f>J38-J55+J25+J28</f>
        <v>31650000</v>
      </c>
      <c r="D112" s="377">
        <f>K38-K55+K25+K28</f>
        <v>34961679.969999999</v>
      </c>
      <c r="H112" s="43"/>
    </row>
    <row r="113" spans="1:8" s="42" customFormat="1" hidden="1">
      <c r="A113" s="43"/>
      <c r="H113" s="43"/>
    </row>
    <row r="114" spans="1:8" s="42" customFormat="1" hidden="1">
      <c r="A114" s="43"/>
      <c r="H114" s="43"/>
    </row>
    <row r="115" spans="1:8" s="42" customFormat="1" hidden="1">
      <c r="A115" s="43"/>
      <c r="B115" s="379" t="s">
        <v>270</v>
      </c>
      <c r="C115" s="380">
        <f>C116/C117</f>
        <v>1.4818325434439179</v>
      </c>
      <c r="D115" s="380">
        <f>D116/D117</f>
        <v>1.4683519683279109</v>
      </c>
      <c r="H115" s="43"/>
    </row>
    <row r="116" spans="1:8" s="42" customFormat="1" ht="60" hidden="1">
      <c r="A116" s="43"/>
      <c r="B116" s="381" t="s">
        <v>271</v>
      </c>
      <c r="C116" s="377">
        <f>C50-C71-C92-C51</f>
        <v>46900000</v>
      </c>
      <c r="D116" s="377">
        <f>D50-D71-D92-D51</f>
        <v>51336051.599999994</v>
      </c>
      <c r="F116" s="382">
        <f>(D116-C116)/C116</f>
        <v>9.4585321961620339E-2</v>
      </c>
      <c r="H116" s="43"/>
    </row>
    <row r="117" spans="1:8" s="42" customFormat="1" ht="60" hidden="1">
      <c r="A117" s="43"/>
      <c r="B117" s="383" t="s">
        <v>269</v>
      </c>
      <c r="C117" s="377">
        <f>J38-J55+J25+J28</f>
        <v>31650000</v>
      </c>
      <c r="D117" s="377">
        <f>K38-K55+K25+K28</f>
        <v>34961679.969999999</v>
      </c>
      <c r="F117" s="382">
        <f>(D117-C117)/C117</f>
        <v>0.10463443823064768</v>
      </c>
      <c r="H117" s="43"/>
    </row>
    <row r="118" spans="1:8" hidden="1"/>
    <row r="119" spans="1:8" hidden="1"/>
    <row r="120" spans="1:8" hidden="1"/>
  </sheetData>
  <sheetProtection algorithmName="SHA-512" hashValue="CSq5pQ1cpLpXJdbKLNYEtSJquOKY8uR7hV3DEres0oQJiL+o/iXu/UbVdJj6/t4Q0TppWKGcbD8Hewl2/vPW8w==" saltValue="cI2tMYM/GA+FaWdkNfz0zg==" spinCount="100000" sheet="1" formatCells="0" formatColumns="0" formatRows="0"/>
  <mergeCells count="16">
    <mergeCell ref="J4:K4"/>
    <mergeCell ref="A6:A7"/>
    <mergeCell ref="B6:B7"/>
    <mergeCell ref="C6:D6"/>
    <mergeCell ref="E6:E7"/>
    <mergeCell ref="F6:F7"/>
    <mergeCell ref="H6:H7"/>
    <mergeCell ref="I6:I7"/>
    <mergeCell ref="J6:K6"/>
    <mergeCell ref="C4:D4"/>
    <mergeCell ref="L6:L7"/>
    <mergeCell ref="M6:M7"/>
    <mergeCell ref="D98:F98"/>
    <mergeCell ref="K98:M98"/>
    <mergeCell ref="D99:F99"/>
    <mergeCell ref="K99:M99"/>
  </mergeCells>
  <pageMargins left="0.78740157480314965" right="0.23622047244094491" top="0.74803149606299213" bottom="0.74803149606299213" header="0.31496062992125984" footer="0.31496062992125984"/>
  <pageSetup paperSize="9" scale="78" fitToHeight="0" orientation="portrait" r:id="rId1"/>
  <rowBreaks count="1" manualBreakCount="1">
    <brk id="49" max="12" man="1"/>
  </rowBreaks>
  <colBreaks count="1" manualBreakCount="1">
    <brk id="7" max="9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H63"/>
  <sheetViews>
    <sheetView view="pageBreakPreview" zoomScaleNormal="70" zoomScaleSheetLayoutView="100" workbookViewId="0">
      <pane xSplit="2" ySplit="8" topLeftCell="C43" activePane="bottomRight" state="frozen"/>
      <selection activeCell="O44" sqref="O44"/>
      <selection pane="topRight" activeCell="O44" sqref="O44"/>
      <selection pane="bottomLeft" activeCell="O44" sqref="O44"/>
      <selection pane="bottomRight" activeCell="E1" sqref="E1:F1"/>
    </sheetView>
  </sheetViews>
  <sheetFormatPr defaultRowHeight="15"/>
  <cols>
    <col min="1" max="1" width="7.28515625" bestFit="1" customWidth="1"/>
    <col min="2" max="2" width="54.140625" customWidth="1"/>
    <col min="3" max="3" width="15.5703125" customWidth="1"/>
    <col min="4" max="4" width="17.140625" customWidth="1"/>
    <col min="5" max="5" width="14.85546875" customWidth="1"/>
    <col min="6" max="6" width="12.140625" customWidth="1"/>
  </cols>
  <sheetData>
    <row r="1" spans="1:7" s="518" customFormat="1">
      <c r="A1" s="536"/>
      <c r="B1" s="534"/>
      <c r="C1" s="534"/>
      <c r="D1" s="534"/>
      <c r="E1" s="737" t="s">
        <v>331</v>
      </c>
      <c r="F1" s="737"/>
      <c r="G1" s="540"/>
    </row>
    <row r="2" spans="1:7" s="518" customFormat="1">
      <c r="A2" s="701" t="s">
        <v>0</v>
      </c>
      <c r="B2" s="701"/>
      <c r="C2" s="534"/>
      <c r="D2" s="534"/>
    </row>
    <row r="3" spans="1:7" ht="15.75" thickBot="1">
      <c r="A3" s="702" t="s">
        <v>120</v>
      </c>
      <c r="B3" s="702"/>
      <c r="C3" s="687" t="s">
        <v>205</v>
      </c>
      <c r="D3" s="687"/>
    </row>
    <row r="4" spans="1:7" ht="17.25" customHeight="1">
      <c r="A4" s="703" t="s">
        <v>308</v>
      </c>
      <c r="B4" s="703"/>
      <c r="C4" s="703"/>
      <c r="D4" s="703"/>
      <c r="E4" s="703"/>
      <c r="F4" s="703"/>
    </row>
    <row r="5" spans="1:7" ht="15.75" thickBot="1">
      <c r="A5" s="43"/>
      <c r="B5" s="42"/>
      <c r="C5" s="42"/>
      <c r="D5" s="44"/>
    </row>
    <row r="6" spans="1:7">
      <c r="A6" s="691" t="s">
        <v>121</v>
      </c>
      <c r="B6" s="698" t="s">
        <v>122</v>
      </c>
      <c r="C6" s="693" t="s">
        <v>123</v>
      </c>
      <c r="D6" s="695"/>
      <c r="E6" s="693" t="s">
        <v>208</v>
      </c>
      <c r="F6" s="695" t="s">
        <v>209</v>
      </c>
    </row>
    <row r="7" spans="1:7" ht="78" customHeight="1" thickBot="1">
      <c r="A7" s="697"/>
      <c r="B7" s="704"/>
      <c r="C7" s="459" t="s">
        <v>314</v>
      </c>
      <c r="D7" s="459" t="s">
        <v>315</v>
      </c>
      <c r="E7" s="694"/>
      <c r="F7" s="696"/>
    </row>
    <row r="8" spans="1:7" ht="29.25" customHeight="1" thickBot="1">
      <c r="A8" s="45" t="s">
        <v>5</v>
      </c>
      <c r="B8" s="243" t="s">
        <v>124</v>
      </c>
      <c r="C8" s="460">
        <f>C10+C11+C12+C13</f>
        <v>216020000</v>
      </c>
      <c r="D8" s="46">
        <f>D10+D11+D12+D13</f>
        <v>237021627.56999999</v>
      </c>
      <c r="E8" s="114">
        <f>D8-C8</f>
        <v>21001627.569999993</v>
      </c>
      <c r="F8" s="115">
        <f>E8/C8</f>
        <v>9.7220755346727125E-2</v>
      </c>
    </row>
    <row r="9" spans="1:7">
      <c r="A9" s="47"/>
      <c r="B9" s="244" t="s">
        <v>125</v>
      </c>
      <c r="C9" s="541"/>
      <c r="D9" s="48"/>
      <c r="E9" s="240">
        <f t="shared" ref="E9:E58" si="0">D9-C9</f>
        <v>0</v>
      </c>
      <c r="F9" s="237" t="e">
        <f t="shared" ref="F9:F58" si="1">E9/C9</f>
        <v>#DIV/0!</v>
      </c>
    </row>
    <row r="10" spans="1:7">
      <c r="A10" s="49" t="s">
        <v>8</v>
      </c>
      <c r="B10" s="245" t="s">
        <v>126</v>
      </c>
      <c r="C10" s="542">
        <v>212620000</v>
      </c>
      <c r="D10" s="50">
        <f>'RZiS 2022'!D10</f>
        <v>234121303.34</v>
      </c>
      <c r="E10" s="238">
        <f t="shared" si="0"/>
        <v>21501303.340000004</v>
      </c>
      <c r="F10" s="235">
        <f t="shared" si="1"/>
        <v>0.1011254977894836</v>
      </c>
    </row>
    <row r="11" spans="1:7" ht="46.5" customHeight="1">
      <c r="A11" s="51" t="s">
        <v>11</v>
      </c>
      <c r="B11" s="246" t="s">
        <v>127</v>
      </c>
      <c r="C11" s="543"/>
      <c r="D11" s="50">
        <f>'RZiS 2022'!D11</f>
        <v>-1081815.74</v>
      </c>
      <c r="E11" s="238">
        <f t="shared" si="0"/>
        <v>-1081815.74</v>
      </c>
      <c r="F11" s="235" t="e">
        <f t="shared" si="1"/>
        <v>#DIV/0!</v>
      </c>
    </row>
    <row r="12" spans="1:7" ht="30">
      <c r="A12" s="51" t="s">
        <v>16</v>
      </c>
      <c r="B12" s="246" t="s">
        <v>128</v>
      </c>
      <c r="C12" s="543"/>
      <c r="D12" s="50">
        <f>'RZiS 2022'!D12</f>
        <v>0</v>
      </c>
      <c r="E12" s="238">
        <f t="shared" si="0"/>
        <v>0</v>
      </c>
      <c r="F12" s="235" t="e">
        <f t="shared" si="1"/>
        <v>#DIV/0!</v>
      </c>
    </row>
    <row r="13" spans="1:7" ht="15.75" thickBot="1">
      <c r="A13" s="53" t="s">
        <v>20</v>
      </c>
      <c r="B13" s="247" t="s">
        <v>129</v>
      </c>
      <c r="C13" s="544">
        <v>3400000</v>
      </c>
      <c r="D13" s="50">
        <f>'RZiS 2022'!D13</f>
        <v>3982139.97</v>
      </c>
      <c r="E13" s="239">
        <f t="shared" si="0"/>
        <v>582139.9700000002</v>
      </c>
      <c r="F13" s="236">
        <f t="shared" si="1"/>
        <v>0.17121763823529418</v>
      </c>
    </row>
    <row r="14" spans="1:7" ht="31.5" customHeight="1" thickBot="1">
      <c r="A14" s="55" t="s">
        <v>41</v>
      </c>
      <c r="B14" s="248" t="s">
        <v>130</v>
      </c>
      <c r="C14" s="465">
        <f>C15+C16+C17+C18+C20+C21+C23+C24</f>
        <v>215500000</v>
      </c>
      <c r="D14" s="56">
        <f>D15+D16+D17+D18+D20+D21+D23+D24</f>
        <v>242558505.78999999</v>
      </c>
      <c r="E14" s="114">
        <f t="shared" si="0"/>
        <v>27058505.789999992</v>
      </c>
      <c r="F14" s="115">
        <f t="shared" si="1"/>
        <v>0.12556151178654287</v>
      </c>
    </row>
    <row r="15" spans="1:7">
      <c r="A15" s="57" t="s">
        <v>8</v>
      </c>
      <c r="B15" s="249" t="s">
        <v>131</v>
      </c>
      <c r="C15" s="545">
        <v>3800000</v>
      </c>
      <c r="D15" s="58">
        <f>'RZiS 2022'!D15</f>
        <v>4883989.4000000004</v>
      </c>
      <c r="E15" s="240">
        <f t="shared" si="0"/>
        <v>1083989.4000000004</v>
      </c>
      <c r="F15" s="237">
        <f t="shared" si="1"/>
        <v>0.28526036842105273</v>
      </c>
    </row>
    <row r="16" spans="1:7">
      <c r="A16" s="51" t="s">
        <v>11</v>
      </c>
      <c r="B16" s="250" t="s">
        <v>132</v>
      </c>
      <c r="C16" s="543">
        <v>15000000</v>
      </c>
      <c r="D16" s="58">
        <f>'RZiS 2022'!D16</f>
        <v>9728206.0299999993</v>
      </c>
      <c r="E16" s="238">
        <f t="shared" si="0"/>
        <v>-5271793.9700000007</v>
      </c>
      <c r="F16" s="235">
        <f t="shared" si="1"/>
        <v>-0.35145293133333338</v>
      </c>
    </row>
    <row r="17" spans="1:8">
      <c r="A17" s="51" t="s">
        <v>16</v>
      </c>
      <c r="B17" s="250" t="s">
        <v>133</v>
      </c>
      <c r="C17" s="543">
        <v>82000000</v>
      </c>
      <c r="D17" s="58">
        <f>'RZiS 2022'!D17</f>
        <v>105817079.56999999</v>
      </c>
      <c r="E17" s="238">
        <f t="shared" si="0"/>
        <v>23817079.569999993</v>
      </c>
      <c r="F17" s="235">
        <f t="shared" si="1"/>
        <v>0.29045218987804872</v>
      </c>
    </row>
    <row r="18" spans="1:8">
      <c r="A18" s="51" t="s">
        <v>20</v>
      </c>
      <c r="B18" s="250" t="s">
        <v>134</v>
      </c>
      <c r="C18" s="543">
        <v>1000000</v>
      </c>
      <c r="D18" s="58">
        <f>'RZiS 2022'!D18</f>
        <v>809487.91</v>
      </c>
      <c r="E18" s="238">
        <f t="shared" si="0"/>
        <v>-190512.08999999997</v>
      </c>
      <c r="F18" s="235">
        <f t="shared" si="1"/>
        <v>-0.19051208999999997</v>
      </c>
    </row>
    <row r="19" spans="1:8">
      <c r="A19" s="51"/>
      <c r="B19" s="250" t="s">
        <v>135</v>
      </c>
      <c r="C19" s="543"/>
      <c r="D19" s="58">
        <f>'RZiS 2022'!D19</f>
        <v>0</v>
      </c>
      <c r="E19" s="238">
        <f t="shared" si="0"/>
        <v>0</v>
      </c>
      <c r="F19" s="235" t="e">
        <f t="shared" si="1"/>
        <v>#DIV/0!</v>
      </c>
    </row>
    <row r="20" spans="1:8" ht="15.75" thickBot="1">
      <c r="A20" s="51" t="s">
        <v>80</v>
      </c>
      <c r="B20" s="250" t="s">
        <v>136</v>
      </c>
      <c r="C20" s="543">
        <v>88000000</v>
      </c>
      <c r="D20" s="58">
        <f>'RZiS 2022'!D20</f>
        <v>93899636.150000006</v>
      </c>
      <c r="E20" s="238">
        <f t="shared" si="0"/>
        <v>5899636.150000006</v>
      </c>
      <c r="F20" s="235">
        <f t="shared" si="1"/>
        <v>6.7041319886363707E-2</v>
      </c>
    </row>
    <row r="21" spans="1:8" ht="15.75" thickBot="1">
      <c r="A21" s="51" t="s">
        <v>33</v>
      </c>
      <c r="B21" s="246" t="s">
        <v>137</v>
      </c>
      <c r="C21" s="543">
        <v>18500000</v>
      </c>
      <c r="D21" s="58">
        <f>'RZiS 2022'!D21</f>
        <v>20268413.629999999</v>
      </c>
      <c r="E21" s="238">
        <f t="shared" si="0"/>
        <v>1768413.629999999</v>
      </c>
      <c r="F21" s="235">
        <f t="shared" si="1"/>
        <v>9.5589925945945883E-2</v>
      </c>
      <c r="H21" s="113"/>
    </row>
    <row r="22" spans="1:8">
      <c r="A22" s="51"/>
      <c r="B22" s="250" t="s">
        <v>138</v>
      </c>
      <c r="C22" s="543">
        <v>7600000</v>
      </c>
      <c r="D22" s="58">
        <f>'RZiS 2022'!D22</f>
        <v>8198161.9299999997</v>
      </c>
      <c r="E22" s="238">
        <f t="shared" si="0"/>
        <v>598161.9299999997</v>
      </c>
      <c r="F22" s="235">
        <f t="shared" si="1"/>
        <v>7.870551710526312E-2</v>
      </c>
    </row>
    <row r="23" spans="1:8">
      <c r="A23" s="51" t="s">
        <v>37</v>
      </c>
      <c r="B23" s="250" t="s">
        <v>139</v>
      </c>
      <c r="C23" s="543">
        <v>4000000</v>
      </c>
      <c r="D23" s="58">
        <f>'RZiS 2022'!D23</f>
        <v>3344367.6</v>
      </c>
      <c r="E23" s="238">
        <f t="shared" si="0"/>
        <v>-655632.39999999991</v>
      </c>
      <c r="F23" s="235">
        <f t="shared" si="1"/>
        <v>-0.16390809999999997</v>
      </c>
    </row>
    <row r="24" spans="1:8" ht="15.75" thickBot="1">
      <c r="A24" s="53" t="s">
        <v>140</v>
      </c>
      <c r="B24" s="251" t="s">
        <v>141</v>
      </c>
      <c r="C24" s="544">
        <v>3200000</v>
      </c>
      <c r="D24" s="58">
        <f>'RZiS 2022'!D24</f>
        <v>3807325.5</v>
      </c>
      <c r="E24" s="239">
        <f t="shared" si="0"/>
        <v>607325.5</v>
      </c>
      <c r="F24" s="236">
        <f t="shared" si="1"/>
        <v>0.18978921874999999</v>
      </c>
    </row>
    <row r="25" spans="1:8" ht="28.5" customHeight="1" thickBot="1">
      <c r="A25" s="55" t="s">
        <v>142</v>
      </c>
      <c r="B25" s="248" t="s">
        <v>143</v>
      </c>
      <c r="C25" s="465">
        <f>C8-C14</f>
        <v>520000</v>
      </c>
      <c r="D25" s="56">
        <f>D8-D14</f>
        <v>-5536878.2199999988</v>
      </c>
      <c r="E25" s="114">
        <f t="shared" si="0"/>
        <v>-6056878.2199999988</v>
      </c>
      <c r="F25" s="115">
        <f t="shared" si="1"/>
        <v>-11.647842730769229</v>
      </c>
    </row>
    <row r="26" spans="1:8" ht="15.75" thickBot="1">
      <c r="A26" s="55" t="s">
        <v>144</v>
      </c>
      <c r="B26" s="248" t="s">
        <v>145</v>
      </c>
      <c r="C26" s="465">
        <f>C27+C28+C29+C30</f>
        <v>6650000</v>
      </c>
      <c r="D26" s="56">
        <f>D27+D28+D29+D30</f>
        <v>15638531.23</v>
      </c>
      <c r="E26" s="241">
        <f t="shared" si="0"/>
        <v>8988531.2300000004</v>
      </c>
      <c r="F26" s="242">
        <f t="shared" si="1"/>
        <v>1.3516588315789475</v>
      </c>
    </row>
    <row r="27" spans="1:8">
      <c r="A27" s="57" t="s">
        <v>8</v>
      </c>
      <c r="B27" s="252" t="s">
        <v>174</v>
      </c>
      <c r="C27" s="545"/>
      <c r="D27" s="58">
        <f>'RZiS 2022'!D27</f>
        <v>0</v>
      </c>
      <c r="E27" s="240">
        <f t="shared" si="0"/>
        <v>0</v>
      </c>
      <c r="F27" s="237" t="e">
        <f t="shared" si="1"/>
        <v>#DIV/0!</v>
      </c>
    </row>
    <row r="28" spans="1:8">
      <c r="A28" s="51" t="s">
        <v>11</v>
      </c>
      <c r="B28" s="250" t="s">
        <v>146</v>
      </c>
      <c r="C28" s="543">
        <v>2500000</v>
      </c>
      <c r="D28" s="58">
        <f>'RZiS 2022'!D28</f>
        <v>12037083.33</v>
      </c>
      <c r="E28" s="238">
        <f t="shared" si="0"/>
        <v>9537083.3300000001</v>
      </c>
      <c r="F28" s="235">
        <f t="shared" si="1"/>
        <v>3.8148333320000001</v>
      </c>
    </row>
    <row r="29" spans="1:8">
      <c r="A29" s="53" t="s">
        <v>16</v>
      </c>
      <c r="B29" s="247" t="s">
        <v>147</v>
      </c>
      <c r="C29" s="544"/>
      <c r="D29" s="58">
        <f>'RZiS 2022'!D29</f>
        <v>0</v>
      </c>
      <c r="E29" s="238">
        <f t="shared" si="0"/>
        <v>0</v>
      </c>
      <c r="F29" s="235" t="e">
        <f t="shared" si="1"/>
        <v>#DIV/0!</v>
      </c>
    </row>
    <row r="30" spans="1:8" ht="15.75" thickBot="1">
      <c r="A30" s="53" t="s">
        <v>20</v>
      </c>
      <c r="B30" s="251" t="s">
        <v>148</v>
      </c>
      <c r="C30" s="544">
        <v>4150000</v>
      </c>
      <c r="D30" s="58">
        <f>'RZiS 2022'!D30</f>
        <v>3601447.9</v>
      </c>
      <c r="E30" s="239">
        <f t="shared" si="0"/>
        <v>-548552.10000000009</v>
      </c>
      <c r="F30" s="236">
        <f t="shared" si="1"/>
        <v>-0.13218122891566267</v>
      </c>
    </row>
    <row r="31" spans="1:8" ht="30" customHeight="1" thickBot="1">
      <c r="A31" s="55" t="s">
        <v>149</v>
      </c>
      <c r="B31" s="248" t="s">
        <v>150</v>
      </c>
      <c r="C31" s="465">
        <f>C32+C33+C34</f>
        <v>1700000</v>
      </c>
      <c r="D31" s="56">
        <f>D32+D33+D34</f>
        <v>3625711.7100000004</v>
      </c>
      <c r="E31" s="114">
        <f t="shared" si="0"/>
        <v>1925711.7100000004</v>
      </c>
      <c r="F31" s="115">
        <f t="shared" si="1"/>
        <v>1.1327715941176473</v>
      </c>
    </row>
    <row r="32" spans="1:8">
      <c r="A32" s="57" t="s">
        <v>8</v>
      </c>
      <c r="B32" s="252" t="s">
        <v>175</v>
      </c>
      <c r="C32" s="545"/>
      <c r="D32" s="58">
        <f>'RZiS 2022'!D32</f>
        <v>64392.22</v>
      </c>
      <c r="E32" s="240">
        <f t="shared" si="0"/>
        <v>64392.22</v>
      </c>
      <c r="F32" s="237" t="e">
        <f t="shared" si="1"/>
        <v>#DIV/0!</v>
      </c>
    </row>
    <row r="33" spans="1:6">
      <c r="A33" s="51" t="s">
        <v>11</v>
      </c>
      <c r="B33" s="246" t="s">
        <v>147</v>
      </c>
      <c r="C33" s="543">
        <v>200000</v>
      </c>
      <c r="D33" s="58">
        <f>'RZiS 2022'!D33</f>
        <v>130868</v>
      </c>
      <c r="E33" s="238">
        <f t="shared" si="0"/>
        <v>-69132</v>
      </c>
      <c r="F33" s="235">
        <f t="shared" si="1"/>
        <v>-0.34566000000000002</v>
      </c>
    </row>
    <row r="34" spans="1:6" ht="15.75" thickBot="1">
      <c r="A34" s="53" t="s">
        <v>16</v>
      </c>
      <c r="B34" s="251" t="s">
        <v>151</v>
      </c>
      <c r="C34" s="544">
        <v>1500000</v>
      </c>
      <c r="D34" s="58">
        <f>'RZiS 2022'!D34</f>
        <v>3430451.49</v>
      </c>
      <c r="E34" s="239">
        <f t="shared" si="0"/>
        <v>1930451.4900000002</v>
      </c>
      <c r="F34" s="236">
        <f t="shared" si="1"/>
        <v>1.2869676600000002</v>
      </c>
    </row>
    <row r="35" spans="1:6" ht="32.25" customHeight="1" thickBot="1">
      <c r="A35" s="55" t="s">
        <v>152</v>
      </c>
      <c r="B35" s="248" t="s">
        <v>153</v>
      </c>
      <c r="C35" s="465">
        <f>C25+C26-C31</f>
        <v>5470000</v>
      </c>
      <c r="D35" s="56">
        <f>'RZiS 2022'!D35</f>
        <v>6475941.3000000007</v>
      </c>
      <c r="E35" s="114">
        <f t="shared" si="0"/>
        <v>1005941.3000000007</v>
      </c>
      <c r="F35" s="115">
        <f t="shared" si="1"/>
        <v>0.18390151736745899</v>
      </c>
    </row>
    <row r="36" spans="1:6" ht="28.5" customHeight="1" thickBot="1">
      <c r="A36" s="59" t="s">
        <v>154</v>
      </c>
      <c r="B36" s="253" t="s">
        <v>155</v>
      </c>
      <c r="C36" s="467">
        <f>C37+C42+C44+C46+C47</f>
        <v>16000</v>
      </c>
      <c r="D36" s="60">
        <f>'RZiS 2022'!D36</f>
        <v>511765.7</v>
      </c>
      <c r="E36" s="241">
        <f t="shared" si="0"/>
        <v>495765.7</v>
      </c>
      <c r="F36" s="242">
        <f t="shared" si="1"/>
        <v>30.985356250000002</v>
      </c>
    </row>
    <row r="37" spans="1:6">
      <c r="A37" s="57" t="s">
        <v>8</v>
      </c>
      <c r="B37" s="249" t="s">
        <v>156</v>
      </c>
      <c r="C37" s="466">
        <f>C38+C40</f>
        <v>0</v>
      </c>
      <c r="D37" s="58">
        <f>'RZiS 2022'!D37</f>
        <v>0</v>
      </c>
      <c r="E37" s="240">
        <f t="shared" si="0"/>
        <v>0</v>
      </c>
      <c r="F37" s="237" t="e">
        <f t="shared" si="1"/>
        <v>#DIV/0!</v>
      </c>
    </row>
    <row r="38" spans="1:6">
      <c r="A38" s="51"/>
      <c r="B38" s="250" t="s">
        <v>176</v>
      </c>
      <c r="C38" s="543"/>
      <c r="D38" s="52">
        <f>'RZiS 2022'!D38</f>
        <v>0</v>
      </c>
      <c r="E38" s="238">
        <f t="shared" si="0"/>
        <v>0</v>
      </c>
      <c r="F38" s="235" t="e">
        <f t="shared" si="1"/>
        <v>#DIV/0!</v>
      </c>
    </row>
    <row r="39" spans="1:6" ht="30">
      <c r="A39" s="51"/>
      <c r="B39" s="246" t="s">
        <v>157</v>
      </c>
      <c r="C39" s="543"/>
      <c r="D39" s="52">
        <f>'RZiS 2022'!D39</f>
        <v>0</v>
      </c>
      <c r="E39" s="238">
        <f t="shared" si="0"/>
        <v>0</v>
      </c>
      <c r="F39" s="235" t="e">
        <f t="shared" si="1"/>
        <v>#DIV/0!</v>
      </c>
    </row>
    <row r="40" spans="1:6">
      <c r="A40" s="51"/>
      <c r="B40" s="250" t="s">
        <v>158</v>
      </c>
      <c r="C40" s="543"/>
      <c r="D40" s="52">
        <f>'RZiS 2022'!D40</f>
        <v>0</v>
      </c>
      <c r="E40" s="238">
        <f t="shared" si="0"/>
        <v>0</v>
      </c>
      <c r="F40" s="235" t="e">
        <f t="shared" si="1"/>
        <v>#DIV/0!</v>
      </c>
    </row>
    <row r="41" spans="1:6" ht="30">
      <c r="A41" s="51"/>
      <c r="B41" s="246" t="s">
        <v>157</v>
      </c>
      <c r="C41" s="543"/>
      <c r="D41" s="52">
        <f>'RZiS 2022'!D41</f>
        <v>0</v>
      </c>
      <c r="E41" s="238">
        <f t="shared" si="0"/>
        <v>0</v>
      </c>
      <c r="F41" s="235" t="e">
        <f t="shared" si="1"/>
        <v>#DIV/0!</v>
      </c>
    </row>
    <row r="42" spans="1:6">
      <c r="A42" s="51" t="s">
        <v>11</v>
      </c>
      <c r="B42" s="250" t="s">
        <v>159</v>
      </c>
      <c r="C42" s="543">
        <v>5000</v>
      </c>
      <c r="D42" s="52">
        <f>'RZiS 2022'!D42</f>
        <v>490334.2</v>
      </c>
      <c r="E42" s="238">
        <f t="shared" si="0"/>
        <v>485334.2</v>
      </c>
      <c r="F42" s="235">
        <f t="shared" si="1"/>
        <v>97.066839999999999</v>
      </c>
    </row>
    <row r="43" spans="1:6">
      <c r="A43" s="51"/>
      <c r="B43" s="250" t="s">
        <v>125</v>
      </c>
      <c r="C43" s="543"/>
      <c r="D43" s="52">
        <f>'RZiS 2022'!D43</f>
        <v>0</v>
      </c>
      <c r="E43" s="238">
        <f t="shared" si="0"/>
        <v>0</v>
      </c>
      <c r="F43" s="235" t="e">
        <f t="shared" si="1"/>
        <v>#DIV/0!</v>
      </c>
    </row>
    <row r="44" spans="1:6">
      <c r="A44" s="51" t="s">
        <v>16</v>
      </c>
      <c r="B44" s="250" t="s">
        <v>177</v>
      </c>
      <c r="C44" s="543"/>
      <c r="D44" s="52">
        <f>'RZiS 2022'!D44</f>
        <v>0</v>
      </c>
      <c r="E44" s="238">
        <f t="shared" si="0"/>
        <v>0</v>
      </c>
      <c r="F44" s="235" t="e">
        <f t="shared" si="1"/>
        <v>#DIV/0!</v>
      </c>
    </row>
    <row r="45" spans="1:6">
      <c r="A45" s="51"/>
      <c r="B45" s="250" t="s">
        <v>125</v>
      </c>
      <c r="C45" s="543"/>
      <c r="D45" s="52">
        <f>'RZiS 2022'!D45</f>
        <v>0</v>
      </c>
      <c r="E45" s="238">
        <f t="shared" si="0"/>
        <v>0</v>
      </c>
      <c r="F45" s="235" t="e">
        <f t="shared" si="1"/>
        <v>#DIV/0!</v>
      </c>
    </row>
    <row r="46" spans="1:6">
      <c r="A46" s="51" t="s">
        <v>20</v>
      </c>
      <c r="B46" s="250" t="s">
        <v>178</v>
      </c>
      <c r="C46" s="543"/>
      <c r="D46" s="52">
        <f>'RZiS 2022'!D46</f>
        <v>0</v>
      </c>
      <c r="E46" s="238">
        <f t="shared" si="0"/>
        <v>0</v>
      </c>
      <c r="F46" s="235" t="e">
        <f t="shared" si="1"/>
        <v>#DIV/0!</v>
      </c>
    </row>
    <row r="47" spans="1:6" ht="15.75" thickBot="1">
      <c r="A47" s="53" t="s">
        <v>80</v>
      </c>
      <c r="B47" s="251" t="s">
        <v>160</v>
      </c>
      <c r="C47" s="544">
        <v>11000</v>
      </c>
      <c r="D47" s="52">
        <f>'RZiS 2022'!D47</f>
        <v>21431.5</v>
      </c>
      <c r="E47" s="239">
        <f t="shared" si="0"/>
        <v>10431.5</v>
      </c>
      <c r="F47" s="236">
        <f t="shared" si="1"/>
        <v>0.94831818181818184</v>
      </c>
    </row>
    <row r="48" spans="1:6" ht="25.5" customHeight="1" thickBot="1">
      <c r="A48" s="55" t="s">
        <v>161</v>
      </c>
      <c r="B48" s="248" t="s">
        <v>162</v>
      </c>
      <c r="C48" s="465">
        <f>C49+C51+C53+C54</f>
        <v>125000</v>
      </c>
      <c r="D48" s="56">
        <f>'RZiS 2022'!D48</f>
        <v>173671.87</v>
      </c>
      <c r="E48" s="114">
        <f t="shared" si="0"/>
        <v>48671.869999999995</v>
      </c>
      <c r="F48" s="115">
        <f t="shared" si="1"/>
        <v>0.38937495999999994</v>
      </c>
    </row>
    <row r="49" spans="1:6">
      <c r="A49" s="57" t="s">
        <v>8</v>
      </c>
      <c r="B49" s="249" t="s">
        <v>159</v>
      </c>
      <c r="C49" s="545">
        <v>20000</v>
      </c>
      <c r="D49" s="58">
        <f>'RZiS 2022'!D49</f>
        <v>48249.51</v>
      </c>
      <c r="E49" s="240">
        <f t="shared" si="0"/>
        <v>28249.510000000002</v>
      </c>
      <c r="F49" s="237">
        <f t="shared" si="1"/>
        <v>1.4124755</v>
      </c>
    </row>
    <row r="50" spans="1:6">
      <c r="A50" s="51"/>
      <c r="B50" s="250" t="s">
        <v>163</v>
      </c>
      <c r="C50" s="543"/>
      <c r="D50" s="58">
        <f>'RZiS 2022'!D50</f>
        <v>0</v>
      </c>
      <c r="E50" s="238">
        <f t="shared" si="0"/>
        <v>0</v>
      </c>
      <c r="F50" s="235" t="e">
        <f t="shared" si="1"/>
        <v>#DIV/0!</v>
      </c>
    </row>
    <row r="51" spans="1:6">
      <c r="A51" s="51" t="s">
        <v>11</v>
      </c>
      <c r="B51" s="250" t="s">
        <v>179</v>
      </c>
      <c r="C51" s="543"/>
      <c r="D51" s="58">
        <f>'RZiS 2022'!D51</f>
        <v>0</v>
      </c>
      <c r="E51" s="238">
        <f t="shared" si="0"/>
        <v>0</v>
      </c>
      <c r="F51" s="235" t="e">
        <f t="shared" si="1"/>
        <v>#DIV/0!</v>
      </c>
    </row>
    <row r="52" spans="1:6">
      <c r="A52" s="51"/>
      <c r="B52" s="250" t="s">
        <v>125</v>
      </c>
      <c r="C52" s="543"/>
      <c r="D52" s="58">
        <f>'RZiS 2022'!D52</f>
        <v>0</v>
      </c>
      <c r="E52" s="238">
        <f t="shared" si="0"/>
        <v>0</v>
      </c>
      <c r="F52" s="235" t="e">
        <f t="shared" si="1"/>
        <v>#DIV/0!</v>
      </c>
    </row>
    <row r="53" spans="1:6">
      <c r="A53" s="51" t="s">
        <v>16</v>
      </c>
      <c r="B53" s="250" t="s">
        <v>178</v>
      </c>
      <c r="C53" s="543"/>
      <c r="D53" s="58">
        <f>'RZiS 2022'!D53</f>
        <v>0</v>
      </c>
      <c r="E53" s="238">
        <f t="shared" si="0"/>
        <v>0</v>
      </c>
      <c r="F53" s="235" t="e">
        <f t="shared" si="1"/>
        <v>#DIV/0!</v>
      </c>
    </row>
    <row r="54" spans="1:6" ht="15.75" thickBot="1">
      <c r="A54" s="61" t="s">
        <v>20</v>
      </c>
      <c r="B54" s="254" t="s">
        <v>160</v>
      </c>
      <c r="C54" s="546">
        <v>105000</v>
      </c>
      <c r="D54" s="58">
        <f>'RZiS 2022'!D54</f>
        <v>125422.36</v>
      </c>
      <c r="E54" s="239">
        <f t="shared" si="0"/>
        <v>20422.36</v>
      </c>
      <c r="F54" s="236">
        <f t="shared" si="1"/>
        <v>0.19449866666666668</v>
      </c>
    </row>
    <row r="55" spans="1:6" ht="28.5" customHeight="1" thickBot="1">
      <c r="A55" s="45" t="s">
        <v>8</v>
      </c>
      <c r="B55" s="243" t="s">
        <v>164</v>
      </c>
      <c r="C55" s="460">
        <f>C35+C36-C48</f>
        <v>5361000</v>
      </c>
      <c r="D55" s="46">
        <f>'RZiS 2022'!D55</f>
        <v>6814035.1300000008</v>
      </c>
      <c r="E55" s="114">
        <f t="shared" si="0"/>
        <v>1453035.1300000008</v>
      </c>
      <c r="F55" s="115">
        <f t="shared" si="1"/>
        <v>0.27103807685133385</v>
      </c>
    </row>
    <row r="56" spans="1:6">
      <c r="A56" s="63" t="s">
        <v>165</v>
      </c>
      <c r="B56" s="255" t="s">
        <v>166</v>
      </c>
      <c r="C56" s="541"/>
      <c r="D56" s="48">
        <f>'RZiS 2022'!D56</f>
        <v>307863</v>
      </c>
      <c r="E56" s="240">
        <f t="shared" si="0"/>
        <v>307863</v>
      </c>
      <c r="F56" s="237" t="e">
        <f t="shared" si="1"/>
        <v>#DIV/0!</v>
      </c>
    </row>
    <row r="57" spans="1:6" ht="30.75" thickBot="1">
      <c r="A57" s="64" t="s">
        <v>167</v>
      </c>
      <c r="B57" s="256" t="s">
        <v>168</v>
      </c>
      <c r="C57" s="546"/>
      <c r="D57" s="62">
        <f>'RZiS 2022'!D57</f>
        <v>0</v>
      </c>
      <c r="E57" s="239">
        <f t="shared" si="0"/>
        <v>0</v>
      </c>
      <c r="F57" s="236" t="e">
        <f t="shared" si="1"/>
        <v>#DIV/0!</v>
      </c>
    </row>
    <row r="58" spans="1:6" ht="28.5" customHeight="1" thickBot="1">
      <c r="A58" s="45" t="s">
        <v>169</v>
      </c>
      <c r="B58" s="243" t="s">
        <v>170</v>
      </c>
      <c r="C58" s="460">
        <f>C55-C56-C57</f>
        <v>5361000</v>
      </c>
      <c r="D58" s="46">
        <f>'RZiS 2022'!D58</f>
        <v>6506172.1300000008</v>
      </c>
      <c r="E58" s="114">
        <f t="shared" si="0"/>
        <v>1145172.1300000008</v>
      </c>
      <c r="F58" s="115">
        <f t="shared" si="1"/>
        <v>0.21361166386868136</v>
      </c>
    </row>
    <row r="60" spans="1:6" ht="48.75" customHeight="1"/>
    <row r="61" spans="1:6" ht="15" customHeight="1">
      <c r="A61" s="686" t="s">
        <v>117</v>
      </c>
      <c r="B61" s="686"/>
      <c r="C61" s="686" t="s">
        <v>118</v>
      </c>
      <c r="D61" s="686"/>
      <c r="F61" s="74"/>
    </row>
    <row r="62" spans="1:6" ht="15" customHeight="1">
      <c r="A62" s="685" t="s">
        <v>207</v>
      </c>
      <c r="B62" s="685"/>
      <c r="C62" s="685" t="s">
        <v>119</v>
      </c>
      <c r="D62" s="685"/>
      <c r="F62" s="73"/>
    </row>
    <row r="63" spans="1:6">
      <c r="A63" s="685"/>
      <c r="B63" s="685"/>
    </row>
  </sheetData>
  <sheetProtection algorithmName="SHA-512" hashValue="+CSHYT2DkMhEYfXmEbveyxrwmywJ2lIAmBHxg+bXeYDAoCbadujblxvaOvdIXs9kwosj+F5Q8cZGF55I/r0NHg==" saltValue="/UQlLDoxd2xombtP2Ue3aQ==" spinCount="100000" sheet="1" formatCells="0" formatColumns="0" formatRows="0"/>
  <mergeCells count="14">
    <mergeCell ref="E1:F1"/>
    <mergeCell ref="A61:B61"/>
    <mergeCell ref="C61:D61"/>
    <mergeCell ref="A62:B63"/>
    <mergeCell ref="C62:D62"/>
    <mergeCell ref="A2:B2"/>
    <mergeCell ref="A3:B3"/>
    <mergeCell ref="C3:D3"/>
    <mergeCell ref="A4:F4"/>
    <mergeCell ref="A6:A7"/>
    <mergeCell ref="B6:B7"/>
    <mergeCell ref="C6:D6"/>
    <mergeCell ref="E6:E7"/>
    <mergeCell ref="F6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73"/>
  <sheetViews>
    <sheetView zoomScaleNormal="100" workbookViewId="0">
      <pane ySplit="4" topLeftCell="A29" activePane="bottomLeft" state="frozen"/>
      <selection activeCell="C6" sqref="C6:D56"/>
      <selection pane="bottomLeft" activeCell="F1" sqref="F1"/>
    </sheetView>
  </sheetViews>
  <sheetFormatPr defaultRowHeight="15"/>
  <cols>
    <col min="1" max="1" width="59.28515625" style="75" customWidth="1"/>
    <col min="2" max="2" width="21.85546875" style="148" customWidth="1"/>
    <col min="3" max="3" width="16.42578125" style="75" customWidth="1"/>
    <col min="4" max="4" width="12.42578125" customWidth="1"/>
    <col min="5" max="5" width="12.28515625" style="42" customWidth="1"/>
    <col min="6" max="6" width="12.42578125" customWidth="1"/>
    <col min="7" max="7" width="12.28515625" style="42" customWidth="1"/>
  </cols>
  <sheetData>
    <row r="1" spans="1:7" s="518" customFormat="1">
      <c r="A1" s="537"/>
      <c r="B1" s="538"/>
      <c r="C1" s="537"/>
      <c r="E1" s="534"/>
      <c r="F1" s="518" t="s">
        <v>332</v>
      </c>
      <c r="G1" s="534"/>
    </row>
    <row r="2" spans="1:7" s="518" customFormat="1" ht="15.75" thickBot="1">
      <c r="A2" s="537"/>
      <c r="B2" s="538"/>
      <c r="C2" s="537"/>
      <c r="E2" s="534"/>
      <c r="G2" s="534"/>
    </row>
    <row r="3" spans="1:7" s="42" customFormat="1" ht="39" customHeight="1" thickBot="1">
      <c r="A3" s="712" t="s">
        <v>316</v>
      </c>
      <c r="B3" s="713"/>
      <c r="C3" s="713"/>
      <c r="D3" s="713"/>
      <c r="E3" s="713"/>
      <c r="F3" s="713"/>
      <c r="G3" s="714"/>
    </row>
    <row r="4" spans="1:7" s="42" customFormat="1" ht="15.75" thickBot="1">
      <c r="A4" s="274" t="s">
        <v>185</v>
      </c>
      <c r="B4" s="762" t="s">
        <v>213</v>
      </c>
      <c r="C4" s="762"/>
      <c r="D4" s="275" t="s">
        <v>186</v>
      </c>
      <c r="E4" s="272" t="s">
        <v>187</v>
      </c>
      <c r="F4" s="275" t="s">
        <v>186</v>
      </c>
      <c r="G4" s="272" t="s">
        <v>187</v>
      </c>
    </row>
    <row r="5" spans="1:7" s="42" customFormat="1" ht="21">
      <c r="A5" s="148"/>
      <c r="B5" s="148"/>
      <c r="C5" s="148"/>
      <c r="D5" s="739" t="s">
        <v>256</v>
      </c>
      <c r="E5" s="739"/>
      <c r="F5" s="739" t="s">
        <v>255</v>
      </c>
      <c r="G5" s="739"/>
    </row>
    <row r="6" spans="1:7" s="42" customFormat="1">
      <c r="A6" s="139" t="s">
        <v>180</v>
      </c>
      <c r="B6" s="139"/>
      <c r="C6" s="139"/>
      <c r="D6" s="276"/>
      <c r="E6" s="271">
        <f>E8+E13+E18</f>
        <v>12</v>
      </c>
      <c r="F6" s="276"/>
      <c r="G6" s="271">
        <f>G8+G13+G18</f>
        <v>12</v>
      </c>
    </row>
    <row r="7" spans="1:7" s="42" customFormat="1">
      <c r="A7" s="277"/>
      <c r="B7" s="140"/>
      <c r="C7" s="278"/>
      <c r="D7" s="279"/>
      <c r="E7" s="133"/>
      <c r="F7" s="279"/>
      <c r="G7" s="133"/>
    </row>
    <row r="8" spans="1:7" s="42" customFormat="1" ht="15" customHeight="1">
      <c r="A8" s="705" t="s">
        <v>252</v>
      </c>
      <c r="B8" s="141" t="s">
        <v>210</v>
      </c>
      <c r="C8" s="111">
        <v>0</v>
      </c>
      <c r="D8" s="744">
        <v>2.41E-2</v>
      </c>
      <c r="E8" s="709">
        <f>IF(D8&lt;0%,0,IF(AND(D8&gt;=0%,D8&lt;=2%),3,IF(AND(D8&gt;2%,D8&lt;=4%),4,5)))</f>
        <v>4</v>
      </c>
      <c r="F8" s="761">
        <f>'Analiza wskaźnikowa za 2022 rok'!D8:D11</f>
        <v>2.5600000000000001E-2</v>
      </c>
      <c r="G8" s="709">
        <f>IF(F8&lt;0%,0,IF(AND(F8&gt;=0%,F8&lt;=2%),3,IF(AND(F8&gt;2%,F8&lt;=4%),4,5)))</f>
        <v>4</v>
      </c>
    </row>
    <row r="9" spans="1:7" s="42" customFormat="1">
      <c r="A9" s="706"/>
      <c r="B9" s="141" t="s">
        <v>211</v>
      </c>
      <c r="C9" s="111">
        <v>3</v>
      </c>
      <c r="D9" s="745"/>
      <c r="E9" s="710"/>
      <c r="F9" s="761"/>
      <c r="G9" s="710"/>
    </row>
    <row r="10" spans="1:7" s="42" customFormat="1">
      <c r="A10" s="706"/>
      <c r="B10" s="141" t="s">
        <v>235</v>
      </c>
      <c r="C10" s="111">
        <v>4</v>
      </c>
      <c r="D10" s="745"/>
      <c r="E10" s="710"/>
      <c r="F10" s="761"/>
      <c r="G10" s="710"/>
    </row>
    <row r="11" spans="1:7" s="42" customFormat="1">
      <c r="A11" s="707"/>
      <c r="B11" s="141" t="s">
        <v>212</v>
      </c>
      <c r="C11" s="111">
        <v>5</v>
      </c>
      <c r="D11" s="746"/>
      <c r="E11" s="711"/>
      <c r="F11" s="761"/>
      <c r="G11" s="711"/>
    </row>
    <row r="12" spans="1:7" s="42" customFormat="1">
      <c r="A12" s="99"/>
      <c r="B12" s="205"/>
      <c r="C12" s="206"/>
      <c r="D12" s="547"/>
      <c r="E12" s="128"/>
      <c r="F12" s="273"/>
      <c r="G12" s="128"/>
    </row>
    <row r="13" spans="1:7" s="42" customFormat="1" ht="18.75" customHeight="1">
      <c r="A13" s="705" t="s">
        <v>246</v>
      </c>
      <c r="B13" s="141" t="s">
        <v>210</v>
      </c>
      <c r="C13" s="111">
        <v>0</v>
      </c>
      <c r="D13" s="747">
        <v>2.46E-2</v>
      </c>
      <c r="E13" s="709">
        <f>IF(D13&lt;0%,0,IF(AND(D13&gt;=0%,D13&lt;=3%),3,IF(AND(D13&gt;3%,D13&lt;5%),4,5)))</f>
        <v>3</v>
      </c>
      <c r="F13" s="761">
        <f>'Analiza wskaźnikowa za 2022 rok'!D13:D16</f>
        <v>2.5499999999999998E-2</v>
      </c>
      <c r="G13" s="709">
        <f>IF(F13&lt;0%,0,IF(AND(F13&gt;=0%,F13&lt;=3%),3,IF(AND(F13&gt;3%,F13&lt;5%),4,5)))</f>
        <v>3</v>
      </c>
    </row>
    <row r="14" spans="1:7" s="42" customFormat="1" ht="18.75" customHeight="1">
      <c r="A14" s="706"/>
      <c r="B14" s="141" t="s">
        <v>214</v>
      </c>
      <c r="C14" s="111">
        <v>3</v>
      </c>
      <c r="D14" s="747"/>
      <c r="E14" s="710"/>
      <c r="F14" s="761"/>
      <c r="G14" s="710"/>
    </row>
    <row r="15" spans="1:7" s="42" customFormat="1" ht="18.75" customHeight="1">
      <c r="A15" s="706"/>
      <c r="B15" s="141" t="s">
        <v>236</v>
      </c>
      <c r="C15" s="111">
        <v>4</v>
      </c>
      <c r="D15" s="747"/>
      <c r="E15" s="710"/>
      <c r="F15" s="761"/>
      <c r="G15" s="710"/>
    </row>
    <row r="16" spans="1:7" s="42" customFormat="1" ht="18.75" customHeight="1">
      <c r="A16" s="707"/>
      <c r="B16" s="141" t="s">
        <v>215</v>
      </c>
      <c r="C16" s="111">
        <v>5</v>
      </c>
      <c r="D16" s="747"/>
      <c r="E16" s="711"/>
      <c r="F16" s="761"/>
      <c r="G16" s="711"/>
    </row>
    <row r="17" spans="1:15" s="42" customFormat="1">
      <c r="A17" s="280"/>
      <c r="B17" s="142"/>
      <c r="C17" s="142"/>
      <c r="D17" s="548"/>
      <c r="E17" s="134"/>
      <c r="F17" s="281"/>
      <c r="G17" s="134"/>
    </row>
    <row r="18" spans="1:15" s="42" customFormat="1" ht="18.75" customHeight="1">
      <c r="A18" s="705" t="s">
        <v>251</v>
      </c>
      <c r="B18" s="141" t="s">
        <v>210</v>
      </c>
      <c r="C18" s="111">
        <v>0</v>
      </c>
      <c r="D18" s="744">
        <v>7.0800000000000002E-2</v>
      </c>
      <c r="E18" s="709">
        <f>IF(D18&lt;0%,0,IF(AND(D18&gt;=0%,D18&lt;=2%),3,IF(AND(D18&gt;2%,D18&lt;4%),4,5)))</f>
        <v>5</v>
      </c>
      <c r="F18" s="758">
        <f>'Analiza wskaźnikowa za 2022 rok'!D18:D21</f>
        <v>8.4599999999999995E-2</v>
      </c>
      <c r="G18" s="709">
        <f>IF(F18&lt;0%,0,IF(AND(F18&gt;=0%,F18&lt;=2%),3,IF(AND(F18&gt;2%,F18&lt;4%),4,5)))</f>
        <v>5</v>
      </c>
      <c r="O18" s="42">
        <f>107-13</f>
        <v>94</v>
      </c>
    </row>
    <row r="19" spans="1:15" s="42" customFormat="1">
      <c r="A19" s="706"/>
      <c r="B19" s="141" t="s">
        <v>211</v>
      </c>
      <c r="C19" s="111">
        <v>3</v>
      </c>
      <c r="D19" s="745"/>
      <c r="E19" s="710"/>
      <c r="F19" s="759"/>
      <c r="G19" s="710"/>
    </row>
    <row r="20" spans="1:15" s="42" customFormat="1">
      <c r="A20" s="706"/>
      <c r="B20" s="141" t="s">
        <v>235</v>
      </c>
      <c r="C20" s="111">
        <v>4</v>
      </c>
      <c r="D20" s="745"/>
      <c r="E20" s="710"/>
      <c r="F20" s="759"/>
      <c r="G20" s="710"/>
    </row>
    <row r="21" spans="1:15" s="42" customFormat="1">
      <c r="A21" s="707"/>
      <c r="B21" s="141" t="s">
        <v>212</v>
      </c>
      <c r="C21" s="111">
        <v>5</v>
      </c>
      <c r="D21" s="746"/>
      <c r="E21" s="711"/>
      <c r="F21" s="760"/>
      <c r="G21" s="711"/>
    </row>
    <row r="22" spans="1:15" s="42" customFormat="1">
      <c r="A22" s="280"/>
      <c r="B22" s="146"/>
      <c r="C22" s="146"/>
      <c r="D22" s="282"/>
      <c r="E22" s="134"/>
      <c r="F22" s="282"/>
      <c r="G22" s="134"/>
    </row>
    <row r="23" spans="1:15" s="42" customFormat="1">
      <c r="A23" s="283" t="s">
        <v>181</v>
      </c>
      <c r="B23" s="144"/>
      <c r="C23" s="144"/>
      <c r="D23" s="284"/>
      <c r="E23" s="132">
        <f>E25+E31</f>
        <v>21</v>
      </c>
      <c r="F23" s="284"/>
      <c r="G23" s="132">
        <f>G25+G31</f>
        <v>21</v>
      </c>
    </row>
    <row r="24" spans="1:15" s="42" customFormat="1">
      <c r="A24" s="280"/>
      <c r="B24" s="142"/>
      <c r="C24" s="142"/>
      <c r="D24" s="134"/>
      <c r="E24" s="134"/>
      <c r="F24" s="134"/>
      <c r="G24" s="134"/>
    </row>
    <row r="25" spans="1:15" s="42" customFormat="1" ht="18.75" customHeight="1">
      <c r="A25" s="719" t="s">
        <v>245</v>
      </c>
      <c r="B25" s="141" t="s">
        <v>216</v>
      </c>
      <c r="C25" s="199">
        <v>0</v>
      </c>
      <c r="D25" s="740">
        <v>1.5</v>
      </c>
      <c r="E25" s="709">
        <f>IF(D25&lt;0.6,0,IF(AND(D25&gt;=0.6,D25&lt;=1),4,IF(AND(D25&gt;1,D25&lt;=1.5),8,IF(AND(D25&gt;1.5,D25&lt;=3),12,10))))</f>
        <v>8</v>
      </c>
      <c r="F25" s="722">
        <f>'Analiza wskaźnikowa za 2022 rok'!D25:D29</f>
        <v>1.49</v>
      </c>
      <c r="G25" s="709">
        <f>IF(F25&lt;0.6,0,IF(AND(F25&gt;=0.6,F25&lt;=1),4,IF(AND(F25&gt;1,F25&lt;=1.5),8,IF(AND(F25&gt;1.5,F25&lt;=3),12,10))))</f>
        <v>8</v>
      </c>
    </row>
    <row r="26" spans="1:15" s="42" customFormat="1" ht="18" customHeight="1">
      <c r="A26" s="720"/>
      <c r="B26" s="141" t="s">
        <v>217</v>
      </c>
      <c r="C26" s="199">
        <v>4</v>
      </c>
      <c r="D26" s="741"/>
      <c r="E26" s="710"/>
      <c r="F26" s="723"/>
      <c r="G26" s="710"/>
    </row>
    <row r="27" spans="1:15" s="42" customFormat="1" ht="18" customHeight="1">
      <c r="A27" s="720"/>
      <c r="B27" s="141" t="s">
        <v>237</v>
      </c>
      <c r="C27" s="199">
        <v>8</v>
      </c>
      <c r="D27" s="741"/>
      <c r="E27" s="710"/>
      <c r="F27" s="723"/>
      <c r="G27" s="710"/>
    </row>
    <row r="28" spans="1:15" s="42" customFormat="1" ht="18" customHeight="1">
      <c r="A28" s="720"/>
      <c r="B28" s="141" t="s">
        <v>238</v>
      </c>
      <c r="C28" s="199">
        <v>12</v>
      </c>
      <c r="D28" s="741"/>
      <c r="E28" s="710"/>
      <c r="F28" s="723"/>
      <c r="G28" s="710"/>
    </row>
    <row r="29" spans="1:15" s="42" customFormat="1" ht="45" customHeight="1">
      <c r="A29" s="721"/>
      <c r="B29" s="201" t="s">
        <v>218</v>
      </c>
      <c r="C29" s="111">
        <v>10</v>
      </c>
      <c r="D29" s="742"/>
      <c r="E29" s="711"/>
      <c r="F29" s="724"/>
      <c r="G29" s="711"/>
    </row>
    <row r="30" spans="1:15" s="42" customFormat="1" ht="16.5" customHeight="1">
      <c r="A30" s="280"/>
      <c r="B30" s="146"/>
      <c r="C30" s="146"/>
      <c r="D30" s="549"/>
      <c r="E30" s="134"/>
      <c r="F30" s="285"/>
      <c r="G30" s="134"/>
    </row>
    <row r="31" spans="1:15" s="42" customFormat="1" ht="23.25" customHeight="1">
      <c r="A31" s="719" t="s">
        <v>242</v>
      </c>
      <c r="B31" s="143" t="s">
        <v>219</v>
      </c>
      <c r="C31" s="200">
        <v>0</v>
      </c>
      <c r="D31" s="740">
        <v>1.48</v>
      </c>
      <c r="E31" s="709">
        <f>IF(D31&lt;0.5,0,IF(AND(D31&gt;=0.5,D31&lt;=1),8,IF(AND(D31&gt;1,D31&lt;=2.5),13,10)))</f>
        <v>13</v>
      </c>
      <c r="F31" s="722">
        <f>'Analiza wskaźnikowa za 2022 rok'!D31:D34</f>
        <v>1.47</v>
      </c>
      <c r="G31" s="709">
        <f>IF(F31&lt;0.5,0,IF(AND(F31&gt;=0.5,F31&lt;=1),8,IF(AND(F31&gt;1,F31&lt;=2.5),13,10)))</f>
        <v>13</v>
      </c>
    </row>
    <row r="32" spans="1:15" s="42" customFormat="1" ht="23.25" customHeight="1">
      <c r="A32" s="720"/>
      <c r="B32" s="141" t="s">
        <v>220</v>
      </c>
      <c r="C32" s="199">
        <v>8</v>
      </c>
      <c r="D32" s="741"/>
      <c r="E32" s="710"/>
      <c r="F32" s="723"/>
      <c r="G32" s="710"/>
      <c r="K32" s="42" t="s">
        <v>241</v>
      </c>
    </row>
    <row r="33" spans="1:10" s="42" customFormat="1" ht="25.5" customHeight="1">
      <c r="A33" s="720"/>
      <c r="B33" s="141" t="s">
        <v>239</v>
      </c>
      <c r="C33" s="199">
        <v>13</v>
      </c>
      <c r="D33" s="741"/>
      <c r="E33" s="710"/>
      <c r="F33" s="723"/>
      <c r="G33" s="710"/>
    </row>
    <row r="34" spans="1:10" s="42" customFormat="1" ht="47.25" customHeight="1">
      <c r="A34" s="721"/>
      <c r="B34" s="201" t="s">
        <v>221</v>
      </c>
      <c r="C34" s="111">
        <v>10</v>
      </c>
      <c r="D34" s="742"/>
      <c r="E34" s="711"/>
      <c r="F34" s="724"/>
      <c r="G34" s="711"/>
      <c r="J34" s="286"/>
    </row>
    <row r="35" spans="1:10" s="42" customFormat="1">
      <c r="A35" s="280"/>
      <c r="B35" s="146"/>
      <c r="C35" s="146"/>
      <c r="D35" s="134"/>
      <c r="E35" s="134"/>
      <c r="F35" s="134"/>
      <c r="G35" s="134"/>
    </row>
    <row r="36" spans="1:10" s="42" customFormat="1" ht="30">
      <c r="A36" s="139" t="s">
        <v>183</v>
      </c>
      <c r="B36" s="144"/>
      <c r="C36" s="144"/>
      <c r="D36" s="284"/>
      <c r="E36" s="132">
        <f>E38+E43</f>
        <v>10</v>
      </c>
      <c r="F36" s="284"/>
      <c r="G36" s="132">
        <f>G38+G43</f>
        <v>10</v>
      </c>
    </row>
    <row r="37" spans="1:10" s="42" customFormat="1">
      <c r="A37" s="287"/>
      <c r="B37" s="145"/>
      <c r="C37" s="145"/>
      <c r="D37" s="134"/>
      <c r="E37" s="135"/>
      <c r="F37" s="134"/>
      <c r="G37" s="135"/>
    </row>
    <row r="38" spans="1:10" s="42" customFormat="1" ht="18.75" customHeight="1">
      <c r="A38" s="719" t="s">
        <v>253</v>
      </c>
      <c r="B38" s="141" t="s">
        <v>222</v>
      </c>
      <c r="C38" s="111">
        <v>3</v>
      </c>
      <c r="D38" s="757">
        <v>10</v>
      </c>
      <c r="E38" s="726">
        <f>IF(D38&lt;45,3,IF(AND(D38&gt;=45,D38&lt;60.5),2,IF(AND(D38&gt;=60.5,D38&lt;=90),1,0)))</f>
        <v>3</v>
      </c>
      <c r="F38" s="725">
        <f>'Analiza wskaźnikowa za 2022 rok'!D38:D41</f>
        <v>5.83</v>
      </c>
      <c r="G38" s="726">
        <f>IF(F38&lt;45,3,IF(AND(F38&gt;=45,F38&lt;60.5),2,IF(AND(F38&gt;=60.5,F38&lt;=90),1,0)))</f>
        <v>3</v>
      </c>
    </row>
    <row r="39" spans="1:10" s="42" customFormat="1" ht="18.75" customHeight="1">
      <c r="A39" s="720"/>
      <c r="B39" s="141" t="s">
        <v>223</v>
      </c>
      <c r="C39" s="111">
        <v>2</v>
      </c>
      <c r="D39" s="757"/>
      <c r="E39" s="727"/>
      <c r="F39" s="725"/>
      <c r="G39" s="727"/>
    </row>
    <row r="40" spans="1:10" s="42" customFormat="1" ht="18.75" customHeight="1">
      <c r="A40" s="720"/>
      <c r="B40" s="141" t="s">
        <v>224</v>
      </c>
      <c r="C40" s="111">
        <v>1</v>
      </c>
      <c r="D40" s="757"/>
      <c r="E40" s="727"/>
      <c r="F40" s="725"/>
      <c r="G40" s="727"/>
    </row>
    <row r="41" spans="1:10" s="42" customFormat="1" ht="18.75" customHeight="1">
      <c r="A41" s="721"/>
      <c r="B41" s="201" t="s">
        <v>225</v>
      </c>
      <c r="C41" s="111">
        <v>0</v>
      </c>
      <c r="D41" s="757"/>
      <c r="E41" s="728"/>
      <c r="F41" s="725"/>
      <c r="G41" s="728"/>
    </row>
    <row r="42" spans="1:10" s="42" customFormat="1">
      <c r="A42" s="288"/>
      <c r="B42" s="202"/>
      <c r="C42" s="203"/>
      <c r="D42" s="550"/>
      <c r="E42" s="134"/>
      <c r="F42" s="289"/>
      <c r="G42" s="134"/>
    </row>
    <row r="43" spans="1:10" s="42" customFormat="1" ht="24" customHeight="1">
      <c r="A43" s="719" t="s">
        <v>254</v>
      </c>
      <c r="B43" s="141" t="s">
        <v>226</v>
      </c>
      <c r="C43" s="111">
        <v>7</v>
      </c>
      <c r="D43" s="751">
        <v>11</v>
      </c>
      <c r="E43" s="709">
        <f>IF(D43&lt;60.5,7,IF(AND(D43&gt;=60.5,D43&lt;=90),4,0))</f>
        <v>7</v>
      </c>
      <c r="F43" s="731">
        <f>'Analiza wskaźnikowa za 2022 rok'!D43:D45</f>
        <v>9.8699999999999992</v>
      </c>
      <c r="G43" s="709">
        <f>IF(F43&lt;60.5,7,IF(AND(F43&gt;=60.5,F43&lt;=90),4,0))</f>
        <v>7</v>
      </c>
    </row>
    <row r="44" spans="1:10" s="42" customFormat="1" ht="21.75" customHeight="1">
      <c r="A44" s="720"/>
      <c r="B44" s="141" t="s">
        <v>224</v>
      </c>
      <c r="C44" s="111">
        <v>4</v>
      </c>
      <c r="D44" s="752"/>
      <c r="E44" s="710"/>
      <c r="F44" s="732"/>
      <c r="G44" s="710"/>
    </row>
    <row r="45" spans="1:10" s="42" customFormat="1" ht="27" customHeight="1">
      <c r="A45" s="721"/>
      <c r="B45" s="141" t="s">
        <v>225</v>
      </c>
      <c r="C45" s="111">
        <v>0</v>
      </c>
      <c r="D45" s="753"/>
      <c r="E45" s="711"/>
      <c r="F45" s="733"/>
      <c r="G45" s="711"/>
    </row>
    <row r="46" spans="1:10" s="42" customFormat="1">
      <c r="A46" s="280"/>
      <c r="B46" s="146"/>
      <c r="C46" s="146"/>
      <c r="D46" s="134"/>
      <c r="E46" s="134"/>
      <c r="F46" s="134"/>
      <c r="G46" s="134"/>
    </row>
    <row r="47" spans="1:10" s="42" customFormat="1">
      <c r="A47" s="139" t="s">
        <v>184</v>
      </c>
      <c r="B47" s="144"/>
      <c r="C47" s="144"/>
      <c r="D47" s="284"/>
      <c r="E47" s="132">
        <f>E49+E54</f>
        <v>12</v>
      </c>
      <c r="F47" s="284"/>
      <c r="G47" s="132">
        <f>G49+G54</f>
        <v>12</v>
      </c>
    </row>
    <row r="48" spans="1:10" s="42" customFormat="1">
      <c r="A48" s="280"/>
      <c r="B48" s="142"/>
      <c r="C48" s="142"/>
      <c r="D48" s="134"/>
      <c r="E48" s="134"/>
      <c r="F48" s="134"/>
      <c r="G48" s="134"/>
    </row>
    <row r="49" spans="1:7" s="42" customFormat="1" ht="18.75" customHeight="1">
      <c r="A49" s="719" t="s">
        <v>243</v>
      </c>
      <c r="B49" s="112" t="s">
        <v>227</v>
      </c>
      <c r="C49" s="111">
        <v>10</v>
      </c>
      <c r="D49" s="754">
        <v>0.56999999999999995</v>
      </c>
      <c r="E49" s="709">
        <f>IF(D49&lt;40%,10,IF(AND(D49&gt;=40%,D49&lt;=60%),8,IF(AND(D49&gt;60%,D49&lt;=80%),3,0)))</f>
        <v>8</v>
      </c>
      <c r="F49" s="748">
        <f>'Analiza wskaźnikowa za 2022 rok'!D49:D52</f>
        <v>0.56679999999999997</v>
      </c>
      <c r="G49" s="709">
        <f>IF(F49&lt;40%,10,IF(AND(F49&gt;=40%,F49&lt;=60%),8,IF(AND(F49&gt;60%,F49&lt;=80%),3,0)))</f>
        <v>8</v>
      </c>
    </row>
    <row r="50" spans="1:7" s="42" customFormat="1">
      <c r="A50" s="720"/>
      <c r="B50" s="112" t="s">
        <v>228</v>
      </c>
      <c r="C50" s="111">
        <v>8</v>
      </c>
      <c r="D50" s="755"/>
      <c r="E50" s="710"/>
      <c r="F50" s="749"/>
      <c r="G50" s="710"/>
    </row>
    <row r="51" spans="1:7" s="42" customFormat="1">
      <c r="A51" s="720"/>
      <c r="B51" s="112" t="s">
        <v>240</v>
      </c>
      <c r="C51" s="111">
        <v>3</v>
      </c>
      <c r="D51" s="755"/>
      <c r="E51" s="710"/>
      <c r="F51" s="749"/>
      <c r="G51" s="710"/>
    </row>
    <row r="52" spans="1:7" s="42" customFormat="1">
      <c r="A52" s="721"/>
      <c r="B52" s="112" t="s">
        <v>229</v>
      </c>
      <c r="C52" s="111">
        <v>0</v>
      </c>
      <c r="D52" s="756"/>
      <c r="E52" s="711"/>
      <c r="F52" s="750"/>
      <c r="G52" s="711"/>
    </row>
    <row r="53" spans="1:7" s="42" customFormat="1">
      <c r="A53" s="280"/>
      <c r="B53" s="146"/>
      <c r="C53" s="146"/>
      <c r="D53" s="551"/>
      <c r="E53" s="134"/>
      <c r="F53" s="290"/>
      <c r="G53" s="134"/>
    </row>
    <row r="54" spans="1:7" s="42" customFormat="1" ht="19.5" customHeight="1">
      <c r="A54" s="719" t="s">
        <v>244</v>
      </c>
      <c r="B54" s="141" t="s">
        <v>230</v>
      </c>
      <c r="C54" s="111">
        <v>10</v>
      </c>
      <c r="D54" s="738">
        <v>2.0699999999999998</v>
      </c>
      <c r="E54" s="709">
        <f>IF(AND(D54&gt;=0,D54&lt;=0.505),10,IF(AND(D54&gt;0.505,D54&lt;=1),8,IF(AND(D54&gt;1,D54&lt;=2),6,IF(AND(D54&gt;2,D54&lt;=4),4,0))))</f>
        <v>4</v>
      </c>
      <c r="F54" s="729">
        <f>'Analiza wskaźnikowa za 2022 rok'!D54:D58</f>
        <v>2.02</v>
      </c>
      <c r="G54" s="709">
        <f>IF(AND(F54&gt;=0,F54&lt;=0.505),10,IF(AND(F54&gt;0.505,F54&lt;=1),8,IF(AND(F54&gt;1,F54&lt;=2),6,IF(AND(F54&gt;2,F54&lt;=4),4,0))))</f>
        <v>4</v>
      </c>
    </row>
    <row r="55" spans="1:7" s="42" customFormat="1">
      <c r="A55" s="720"/>
      <c r="B55" s="141" t="s">
        <v>231</v>
      </c>
      <c r="C55" s="111">
        <v>8</v>
      </c>
      <c r="D55" s="738"/>
      <c r="E55" s="710"/>
      <c r="F55" s="729"/>
      <c r="G55" s="710"/>
    </row>
    <row r="56" spans="1:7" s="42" customFormat="1">
      <c r="A56" s="720"/>
      <c r="B56" s="141" t="s">
        <v>232</v>
      </c>
      <c r="C56" s="111">
        <v>6</v>
      </c>
      <c r="D56" s="738"/>
      <c r="E56" s="710"/>
      <c r="F56" s="729"/>
      <c r="G56" s="710"/>
    </row>
    <row r="57" spans="1:7" s="42" customFormat="1">
      <c r="A57" s="720"/>
      <c r="B57" s="141" t="s">
        <v>233</v>
      </c>
      <c r="C57" s="111">
        <v>4</v>
      </c>
      <c r="D57" s="738"/>
      <c r="E57" s="710"/>
      <c r="F57" s="729"/>
      <c r="G57" s="710"/>
    </row>
    <row r="58" spans="1:7" s="42" customFormat="1" ht="25.5">
      <c r="A58" s="721"/>
      <c r="B58" s="201" t="s">
        <v>234</v>
      </c>
      <c r="C58" s="111">
        <v>0</v>
      </c>
      <c r="D58" s="738"/>
      <c r="E58" s="711"/>
      <c r="F58" s="729"/>
      <c r="G58" s="711"/>
    </row>
    <row r="59" spans="1:7" s="42" customFormat="1">
      <c r="A59" s="280"/>
      <c r="B59" s="146"/>
      <c r="C59" s="146"/>
      <c r="D59" s="282"/>
      <c r="E59" s="134"/>
      <c r="F59" s="282"/>
      <c r="G59" s="134"/>
    </row>
    <row r="60" spans="1:7" s="42" customFormat="1" ht="24.75" customHeight="1">
      <c r="A60" s="291" t="s">
        <v>188</v>
      </c>
      <c r="B60" s="147"/>
      <c r="C60" s="147"/>
      <c r="D60" s="292"/>
      <c r="E60" s="136">
        <f>E6+E23+E36+E47</f>
        <v>55</v>
      </c>
      <c r="F60" s="292"/>
      <c r="G60" s="136">
        <f>G6+G23+G36+G47</f>
        <v>55</v>
      </c>
    </row>
    <row r="61" spans="1:7" s="42" customFormat="1">
      <c r="A61" s="148"/>
      <c r="B61" s="148"/>
      <c r="C61" s="148"/>
    </row>
    <row r="62" spans="1:7" s="42" customFormat="1">
      <c r="A62" s="148"/>
      <c r="B62" s="148"/>
      <c r="C62" s="148"/>
    </row>
    <row r="63" spans="1:7" s="42" customFormat="1" ht="87.75" customHeight="1">
      <c r="A63" s="743" t="s">
        <v>311</v>
      </c>
      <c r="B63" s="743"/>
      <c r="C63" s="743"/>
      <c r="D63" s="743"/>
      <c r="E63" s="743"/>
      <c r="F63" s="743"/>
      <c r="G63" s="743"/>
    </row>
    <row r="64" spans="1:7" s="42" customFormat="1">
      <c r="A64" s="148"/>
      <c r="B64" s="148"/>
      <c r="C64" s="148"/>
    </row>
    <row r="65" spans="1:3" s="42" customFormat="1">
      <c r="A65" s="148"/>
      <c r="B65" s="148"/>
      <c r="C65" s="148"/>
    </row>
    <row r="66" spans="1:3" s="42" customFormat="1">
      <c r="A66" s="148"/>
      <c r="B66" s="148"/>
      <c r="C66" s="148"/>
    </row>
    <row r="67" spans="1:3" s="42" customFormat="1">
      <c r="A67" s="148"/>
      <c r="B67" s="148"/>
      <c r="C67" s="148"/>
    </row>
    <row r="68" spans="1:3" s="42" customFormat="1">
      <c r="A68" s="148"/>
      <c r="B68" s="148"/>
      <c r="C68" s="148"/>
    </row>
    <row r="69" spans="1:3" s="42" customFormat="1">
      <c r="A69" s="148"/>
      <c r="B69" s="148"/>
      <c r="C69" s="148"/>
    </row>
    <row r="70" spans="1:3" s="42" customFormat="1">
      <c r="A70" s="148"/>
      <c r="B70" s="148"/>
      <c r="C70" s="148"/>
    </row>
    <row r="71" spans="1:3" s="42" customFormat="1">
      <c r="A71" s="148"/>
      <c r="B71" s="148"/>
      <c r="C71" s="148"/>
    </row>
    <row r="72" spans="1:3" s="42" customFormat="1">
      <c r="A72" s="148"/>
      <c r="B72" s="148"/>
      <c r="C72" s="148"/>
    </row>
    <row r="73" spans="1:3" s="42" customFormat="1">
      <c r="A73" s="148"/>
      <c r="B73" s="148"/>
      <c r="C73" s="148"/>
    </row>
  </sheetData>
  <sheetProtection algorithmName="SHA-512" hashValue="Q4OSNL90SWsWw/4CA9IyK3/YljzCZNAKmuYq1SNLolm3W0+o1cV/+Nj/UBksvv+E5gcT7ZtUn7+lYVGJ5msmtQ==" saltValue="lzo2NVKEijp6/1JLuRX6UA==" spinCount="100000" sheet="1" formatCells="0" formatColumns="0" formatRows="0"/>
  <mergeCells count="50">
    <mergeCell ref="A13:A16"/>
    <mergeCell ref="F13:F16"/>
    <mergeCell ref="G13:G16"/>
    <mergeCell ref="A3:G3"/>
    <mergeCell ref="B4:C4"/>
    <mergeCell ref="A8:A11"/>
    <mergeCell ref="F8:F11"/>
    <mergeCell ref="G8:G11"/>
    <mergeCell ref="D38:D41"/>
    <mergeCell ref="E38:E41"/>
    <mergeCell ref="A18:A21"/>
    <mergeCell ref="F18:F21"/>
    <mergeCell ref="G18:G21"/>
    <mergeCell ref="A25:A29"/>
    <mergeCell ref="F25:F29"/>
    <mergeCell ref="G25:G29"/>
    <mergeCell ref="D25:D29"/>
    <mergeCell ref="E25:E29"/>
    <mergeCell ref="A63:G63"/>
    <mergeCell ref="D8:D11"/>
    <mergeCell ref="E8:E11"/>
    <mergeCell ref="D13:D16"/>
    <mergeCell ref="E13:E16"/>
    <mergeCell ref="D18:D21"/>
    <mergeCell ref="E18:E21"/>
    <mergeCell ref="A43:A45"/>
    <mergeCell ref="F43:F45"/>
    <mergeCell ref="G43:G45"/>
    <mergeCell ref="A49:A52"/>
    <mergeCell ref="F49:F52"/>
    <mergeCell ref="G49:G52"/>
    <mergeCell ref="D43:D45"/>
    <mergeCell ref="E43:E45"/>
    <mergeCell ref="D49:D52"/>
    <mergeCell ref="D54:D58"/>
    <mergeCell ref="E54:E58"/>
    <mergeCell ref="D5:E5"/>
    <mergeCell ref="F5:G5"/>
    <mergeCell ref="A54:A58"/>
    <mergeCell ref="F54:F58"/>
    <mergeCell ref="G54:G58"/>
    <mergeCell ref="E49:E52"/>
    <mergeCell ref="A31:A34"/>
    <mergeCell ref="F31:F34"/>
    <mergeCell ref="G31:G34"/>
    <mergeCell ref="A38:A41"/>
    <mergeCell ref="F38:F41"/>
    <mergeCell ref="G38:G41"/>
    <mergeCell ref="D31:D34"/>
    <mergeCell ref="E31:E34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03"/>
  <sheetViews>
    <sheetView view="pageBreakPreview" zoomScaleNormal="110" zoomScaleSheetLayoutView="100" workbookViewId="0">
      <pane ySplit="7" topLeftCell="A83" activePane="bottomLeft" state="frozen"/>
      <selection activeCell="F8" sqref="F8"/>
      <selection pane="bottomLeft" activeCell="P39" sqref="P39"/>
    </sheetView>
  </sheetViews>
  <sheetFormatPr defaultColWidth="9.140625" defaultRowHeight="15"/>
  <cols>
    <col min="1" max="1" width="4.140625" style="221" customWidth="1"/>
    <col min="2" max="2" width="47.42578125" customWidth="1"/>
    <col min="3" max="3" width="16.5703125" bestFit="1" customWidth="1"/>
    <col min="4" max="6" width="16.42578125" customWidth="1"/>
    <col min="7" max="7" width="1.28515625" customWidth="1"/>
    <col min="8" max="8" width="4.42578125" style="221" customWidth="1"/>
    <col min="9" max="9" width="49.5703125" customWidth="1"/>
    <col min="10" max="11" width="16.85546875" bestFit="1" customWidth="1"/>
    <col min="12" max="12" width="14.42578125" style="42" customWidth="1"/>
    <col min="13" max="13" width="10.42578125" style="42" customWidth="1"/>
  </cols>
  <sheetData>
    <row r="1" spans="1:13" s="518" customFormat="1">
      <c r="A1" s="532"/>
      <c r="B1" s="533"/>
      <c r="C1" s="533"/>
      <c r="D1" s="533"/>
      <c r="F1" s="518" t="s">
        <v>333</v>
      </c>
      <c r="G1" s="533"/>
      <c r="H1" s="532"/>
      <c r="I1" s="533"/>
      <c r="J1" s="533"/>
      <c r="K1" s="533"/>
      <c r="L1" s="518" t="s">
        <v>334</v>
      </c>
      <c r="M1" s="534"/>
    </row>
    <row r="2" spans="1:13" s="518" customFormat="1">
      <c r="A2" s="532"/>
      <c r="B2" s="535" t="s">
        <v>0</v>
      </c>
      <c r="C2" s="533"/>
      <c r="D2" s="533"/>
      <c r="E2" s="533"/>
      <c r="F2" s="533"/>
      <c r="G2" s="533"/>
      <c r="H2" s="532"/>
      <c r="I2" s="535" t="s">
        <v>0</v>
      </c>
      <c r="J2" s="533"/>
      <c r="K2" s="533"/>
      <c r="L2" s="534"/>
      <c r="M2" s="534"/>
    </row>
    <row r="3" spans="1:13">
      <c r="A3" s="152"/>
      <c r="B3" s="4" t="s">
        <v>1</v>
      </c>
      <c r="C3" s="2"/>
      <c r="D3" s="2"/>
      <c r="E3" s="2"/>
      <c r="F3" s="2"/>
      <c r="G3" s="2"/>
      <c r="H3" s="152"/>
      <c r="I3" s="4" t="s">
        <v>1</v>
      </c>
      <c r="J3" s="2"/>
      <c r="K3" s="2"/>
    </row>
    <row r="4" spans="1:13" ht="15.75" customHeight="1" thickBot="1">
      <c r="A4" s="454"/>
      <c r="B4" s="451" t="s">
        <v>302</v>
      </c>
      <c r="C4" s="687" t="s">
        <v>205</v>
      </c>
      <c r="D4" s="687"/>
      <c r="E4" s="225"/>
      <c r="F4" s="225"/>
      <c r="G4" s="225"/>
      <c r="H4" s="225"/>
      <c r="I4" s="451" t="s">
        <v>302</v>
      </c>
      <c r="J4" s="687" t="s">
        <v>205</v>
      </c>
      <c r="K4" s="687"/>
    </row>
    <row r="5" spans="1:13" ht="15.75" thickBot="1">
      <c r="A5" s="152"/>
      <c r="B5" s="2"/>
      <c r="C5" s="2"/>
      <c r="D5" s="2"/>
      <c r="E5" s="2"/>
      <c r="F5" s="2"/>
      <c r="G5" s="2"/>
      <c r="H5" s="152"/>
      <c r="I5" s="2"/>
    </row>
    <row r="6" spans="1:13">
      <c r="A6" s="688"/>
      <c r="B6" s="691" t="s">
        <v>2</v>
      </c>
      <c r="C6" s="693" t="s">
        <v>3</v>
      </c>
      <c r="D6" s="698"/>
      <c r="E6" s="693" t="s">
        <v>208</v>
      </c>
      <c r="F6" s="695" t="s">
        <v>209</v>
      </c>
      <c r="G6" s="225"/>
      <c r="H6" s="688"/>
      <c r="I6" s="689" t="s">
        <v>4</v>
      </c>
      <c r="J6" s="691" t="s">
        <v>3</v>
      </c>
      <c r="K6" s="692"/>
      <c r="L6" s="693" t="s">
        <v>208</v>
      </c>
      <c r="M6" s="695" t="s">
        <v>209</v>
      </c>
    </row>
    <row r="7" spans="1:13" ht="15.75" thickBot="1">
      <c r="A7" s="688"/>
      <c r="B7" s="697"/>
      <c r="C7" s="453" t="str">
        <f ca="1">'BILANS 2022'!D7</f>
        <v>31.12.2022</v>
      </c>
      <c r="D7" s="592" t="str">
        <f ca="1">CONCATENATE("31.12.",RIGHT(CELL("nazwa_pliku",A1),4))</f>
        <v>31.12.2023</v>
      </c>
      <c r="E7" s="699"/>
      <c r="F7" s="700"/>
      <c r="G7" s="225"/>
      <c r="H7" s="688"/>
      <c r="I7" s="690"/>
      <c r="J7" s="453" t="str">
        <f ca="1">'BILANS 2022'!K7</f>
        <v>31.12.2022</v>
      </c>
      <c r="K7" s="592" t="str">
        <f ca="1">CONCATENATE("31.12.",RIGHT(CELL("nazwa_pliku",H1),4))</f>
        <v>31.12.2023</v>
      </c>
      <c r="L7" s="694"/>
      <c r="M7" s="696"/>
    </row>
    <row r="8" spans="1:13" ht="15.75" thickBot="1">
      <c r="A8" s="5" t="s">
        <v>5</v>
      </c>
      <c r="B8" s="179" t="s">
        <v>6</v>
      </c>
      <c r="C8" s="6">
        <f>'BILANS 2022'!D8</f>
        <v>28702198.990000002</v>
      </c>
      <c r="D8" s="268">
        <f>D9+D14+D23+D27+D47</f>
        <v>35494771.659999996</v>
      </c>
      <c r="E8" s="6">
        <f>D8-C8</f>
        <v>6792572.6699999943</v>
      </c>
      <c r="F8" s="180">
        <f>E8/C8</f>
        <v>0.23665687330669552</v>
      </c>
      <c r="G8" s="226"/>
      <c r="H8" s="93" t="s">
        <v>5</v>
      </c>
      <c r="I8" s="7" t="s">
        <v>7</v>
      </c>
      <c r="J8" s="77">
        <f>'BILANS 2022'!K8</f>
        <v>22641842.829999998</v>
      </c>
      <c r="K8" s="234">
        <f>K9+K10+K12+K14+K17+K18+K19</f>
        <v>28305842.829999998</v>
      </c>
      <c r="L8" s="159">
        <f>K8-J8</f>
        <v>5664000</v>
      </c>
      <c r="M8" s="160">
        <f>L8/J8</f>
        <v>0.25015631645032493</v>
      </c>
    </row>
    <row r="9" spans="1:13" ht="15.75" thickBot="1">
      <c r="A9" s="8" t="s">
        <v>8</v>
      </c>
      <c r="B9" s="28" t="s">
        <v>206</v>
      </c>
      <c r="C9" s="9">
        <f>'BILANS 2022'!D9</f>
        <v>100853.82</v>
      </c>
      <c r="D9" s="82">
        <f>D10+D11+D12+D13</f>
        <v>150190.14000000001</v>
      </c>
      <c r="E9" s="9">
        <f t="shared" ref="E9:E72" si="0">D9-C9</f>
        <v>49336.320000000007</v>
      </c>
      <c r="F9" s="157">
        <f t="shared" ref="F9:F72" si="1">E9/C9</f>
        <v>0.48918642843672161</v>
      </c>
      <c r="G9" s="226"/>
      <c r="H9" s="94" t="s">
        <v>8</v>
      </c>
      <c r="I9" s="10" t="s">
        <v>9</v>
      </c>
      <c r="J9" s="11">
        <f>'BILANS 2022'!K9</f>
        <v>35420985.210000001</v>
      </c>
      <c r="K9" s="502">
        <v>35420985.210000001</v>
      </c>
      <c r="L9" s="161">
        <f t="shared" ref="L9:L66" si="2">K9-J9</f>
        <v>0</v>
      </c>
      <c r="M9" s="162">
        <f t="shared" ref="M9:M66" si="3">L9/J9</f>
        <v>0</v>
      </c>
    </row>
    <row r="10" spans="1:13">
      <c r="A10" s="12">
        <v>1</v>
      </c>
      <c r="B10" s="30" t="s">
        <v>10</v>
      </c>
      <c r="C10" s="13">
        <f>'BILANS 2022'!D10</f>
        <v>0</v>
      </c>
      <c r="D10" s="484"/>
      <c r="E10" s="229">
        <f t="shared" si="0"/>
        <v>0</v>
      </c>
      <c r="F10" s="181" t="e">
        <f t="shared" si="1"/>
        <v>#DIV/0!</v>
      </c>
      <c r="G10" s="226"/>
      <c r="H10" s="94" t="s">
        <v>11</v>
      </c>
      <c r="I10" s="10" t="s">
        <v>171</v>
      </c>
      <c r="J10" s="11">
        <f>'BILANS 2022'!K10</f>
        <v>0</v>
      </c>
      <c r="K10" s="502"/>
      <c r="L10" s="163">
        <f t="shared" si="2"/>
        <v>0</v>
      </c>
      <c r="M10" s="164" t="e">
        <f t="shared" si="3"/>
        <v>#DIV/0!</v>
      </c>
    </row>
    <row r="11" spans="1:13" ht="30.75" thickBot="1">
      <c r="A11" s="12">
        <v>2</v>
      </c>
      <c r="B11" s="30" t="s">
        <v>12</v>
      </c>
      <c r="C11" s="13">
        <f>'BILANS 2022'!D11</f>
        <v>0</v>
      </c>
      <c r="D11" s="484"/>
      <c r="E11" s="230">
        <f t="shared" si="0"/>
        <v>0</v>
      </c>
      <c r="F11" s="182" t="e">
        <f t="shared" si="1"/>
        <v>#DIV/0!</v>
      </c>
      <c r="G11" s="226"/>
      <c r="H11" s="217"/>
      <c r="I11" s="207" t="s">
        <v>13</v>
      </c>
      <c r="J11" s="208">
        <f>'BILANS 2022'!K11</f>
        <v>0</v>
      </c>
      <c r="K11" s="503"/>
      <c r="L11" s="167">
        <f t="shared" si="2"/>
        <v>0</v>
      </c>
      <c r="M11" s="168" t="e">
        <f t="shared" si="3"/>
        <v>#DIV/0!</v>
      </c>
    </row>
    <row r="12" spans="1:13">
      <c r="A12" s="12">
        <v>3</v>
      </c>
      <c r="B12" s="30" t="s">
        <v>14</v>
      </c>
      <c r="C12" s="13">
        <f>'BILANS 2022'!D12</f>
        <v>100853.82</v>
      </c>
      <c r="D12" s="484">
        <v>150190.14000000001</v>
      </c>
      <c r="E12" s="230">
        <f t="shared" si="0"/>
        <v>49336.320000000007</v>
      </c>
      <c r="F12" s="182">
        <f t="shared" si="1"/>
        <v>0.48918642843672161</v>
      </c>
      <c r="G12" s="226"/>
      <c r="H12" s="95" t="s">
        <v>16</v>
      </c>
      <c r="I12" s="16" t="s">
        <v>172</v>
      </c>
      <c r="J12" s="17">
        <f>'BILANS 2022'!K12</f>
        <v>0</v>
      </c>
      <c r="K12" s="505"/>
      <c r="L12" s="163">
        <f t="shared" si="2"/>
        <v>0</v>
      </c>
      <c r="M12" s="164" t="e">
        <f t="shared" si="3"/>
        <v>#DIV/0!</v>
      </c>
    </row>
    <row r="13" spans="1:13" ht="15.75" thickBot="1">
      <c r="A13" s="14">
        <v>4</v>
      </c>
      <c r="B13" s="40" t="s">
        <v>15</v>
      </c>
      <c r="C13" s="15">
        <f>'BILANS 2022'!D13</f>
        <v>0</v>
      </c>
      <c r="D13" s="486"/>
      <c r="E13" s="231">
        <f t="shared" si="0"/>
        <v>0</v>
      </c>
      <c r="F13" s="183" t="e">
        <f t="shared" si="1"/>
        <v>#DIV/0!</v>
      </c>
      <c r="G13" s="226"/>
      <c r="H13" s="96"/>
      <c r="I13" s="19" t="s">
        <v>18</v>
      </c>
      <c r="J13" s="20">
        <f>'BILANS 2022'!K13</f>
        <v>0</v>
      </c>
      <c r="K13" s="507"/>
      <c r="L13" s="167">
        <f t="shared" si="2"/>
        <v>0</v>
      </c>
      <c r="M13" s="168" t="e">
        <f t="shared" si="3"/>
        <v>#DIV/0!</v>
      </c>
    </row>
    <row r="14" spans="1:13">
      <c r="A14" s="18" t="s">
        <v>11</v>
      </c>
      <c r="B14" s="184" t="s">
        <v>17</v>
      </c>
      <c r="C14" s="9">
        <f>'BILANS 2022'!D14</f>
        <v>28564442.370000001</v>
      </c>
      <c r="D14" s="82">
        <f>D15+D21+D22</f>
        <v>35344581.519999996</v>
      </c>
      <c r="E14" s="9">
        <f t="shared" si="0"/>
        <v>6780139.1499999948</v>
      </c>
      <c r="F14" s="157">
        <f t="shared" si="1"/>
        <v>0.23736290952841713</v>
      </c>
      <c r="G14" s="226"/>
      <c r="H14" s="95" t="s">
        <v>20</v>
      </c>
      <c r="I14" s="16" t="s">
        <v>173</v>
      </c>
      <c r="J14" s="17">
        <f>'BILANS 2022'!K14</f>
        <v>0</v>
      </c>
      <c r="K14" s="508"/>
      <c r="L14" s="163">
        <f t="shared" si="2"/>
        <v>0</v>
      </c>
      <c r="M14" s="164" t="e">
        <f t="shared" si="3"/>
        <v>#DIV/0!</v>
      </c>
    </row>
    <row r="15" spans="1:13">
      <c r="A15" s="21">
        <v>1</v>
      </c>
      <c r="B15" s="185" t="s">
        <v>19</v>
      </c>
      <c r="C15" s="22">
        <f>'BILANS 2022'!D15</f>
        <v>28544211.330000002</v>
      </c>
      <c r="D15" s="85">
        <f>SUM(D16:D20)</f>
        <v>35324381.519999996</v>
      </c>
      <c r="E15" s="229">
        <f t="shared" si="0"/>
        <v>6780170.1899999939</v>
      </c>
      <c r="F15" s="181">
        <f t="shared" si="1"/>
        <v>0.23753223067242452</v>
      </c>
      <c r="G15" s="226"/>
      <c r="H15" s="96"/>
      <c r="I15" s="19" t="s">
        <v>23</v>
      </c>
      <c r="J15" s="20">
        <f>'BILANS 2022'!K15</f>
        <v>0</v>
      </c>
      <c r="K15" s="507"/>
      <c r="L15" s="165">
        <f t="shared" si="2"/>
        <v>0</v>
      </c>
      <c r="M15" s="166" t="e">
        <f t="shared" si="3"/>
        <v>#DIV/0!</v>
      </c>
    </row>
    <row r="16" spans="1:13" ht="30.75" thickBot="1">
      <c r="A16" s="12" t="s">
        <v>21</v>
      </c>
      <c r="B16" s="30" t="s">
        <v>22</v>
      </c>
      <c r="C16" s="13">
        <f>'BILANS 2022'!D16</f>
        <v>7662681.5199999996</v>
      </c>
      <c r="D16" s="484">
        <v>7662681.5199999996</v>
      </c>
      <c r="E16" s="230">
        <f t="shared" si="0"/>
        <v>0</v>
      </c>
      <c r="F16" s="182">
        <f t="shared" si="1"/>
        <v>0</v>
      </c>
      <c r="G16" s="226"/>
      <c r="H16" s="96"/>
      <c r="I16" s="19" t="s">
        <v>26</v>
      </c>
      <c r="J16" s="20">
        <f>'BILANS 2022'!K16</f>
        <v>0</v>
      </c>
      <c r="K16" s="507"/>
      <c r="L16" s="167">
        <f t="shared" si="2"/>
        <v>0</v>
      </c>
      <c r="M16" s="168" t="e">
        <f t="shared" si="3"/>
        <v>#DIV/0!</v>
      </c>
    </row>
    <row r="17" spans="1:13" ht="30.75" thickBot="1">
      <c r="A17" s="12" t="s">
        <v>24</v>
      </c>
      <c r="B17" s="30" t="s">
        <v>25</v>
      </c>
      <c r="C17" s="13">
        <f>'BILANS 2022'!D17</f>
        <v>8602972.5999999996</v>
      </c>
      <c r="D17" s="484">
        <v>13041700</v>
      </c>
      <c r="E17" s="230">
        <f t="shared" si="0"/>
        <v>4438727.4000000004</v>
      </c>
      <c r="F17" s="182">
        <f t="shared" si="1"/>
        <v>0.51595275335411395</v>
      </c>
      <c r="G17" s="226"/>
      <c r="H17" s="94" t="s">
        <v>29</v>
      </c>
      <c r="I17" s="10" t="s">
        <v>30</v>
      </c>
      <c r="J17" s="552">
        <f>'BILANS 2022'!K17</f>
        <v>-19285314.510000002</v>
      </c>
      <c r="K17" s="556">
        <v>-12779142.380000001</v>
      </c>
      <c r="L17" s="161">
        <f t="shared" si="2"/>
        <v>6506172.1300000008</v>
      </c>
      <c r="M17" s="162">
        <f t="shared" si="3"/>
        <v>-0.3373640666646302</v>
      </c>
    </row>
    <row r="18" spans="1:13" ht="15.75" thickBot="1">
      <c r="A18" s="12" t="s">
        <v>27</v>
      </c>
      <c r="B18" s="30" t="s">
        <v>28</v>
      </c>
      <c r="C18" s="13">
        <f>'BILANS 2022'!D18</f>
        <v>426865.96</v>
      </c>
      <c r="D18" s="484">
        <v>600000</v>
      </c>
      <c r="E18" s="230">
        <f t="shared" si="0"/>
        <v>173134.03999999998</v>
      </c>
      <c r="F18" s="182">
        <f t="shared" si="1"/>
        <v>0.40559345608162328</v>
      </c>
      <c r="G18" s="226"/>
      <c r="H18" s="94" t="s">
        <v>33</v>
      </c>
      <c r="I18" s="10" t="s">
        <v>34</v>
      </c>
      <c r="J18" s="23">
        <f>'BILANS 2022'!K18</f>
        <v>6506172.1299999999</v>
      </c>
      <c r="K18" s="512">
        <v>5664000</v>
      </c>
      <c r="L18" s="161">
        <f t="shared" si="2"/>
        <v>-842172.12999999989</v>
      </c>
      <c r="M18" s="162">
        <f t="shared" si="3"/>
        <v>-0.12944203030177129</v>
      </c>
    </row>
    <row r="19" spans="1:13" ht="30.75" thickBot="1">
      <c r="A19" s="12" t="s">
        <v>31</v>
      </c>
      <c r="B19" s="30" t="s">
        <v>32</v>
      </c>
      <c r="C19" s="13">
        <f>'BILANS 2022'!D19</f>
        <v>7476298.9800000004</v>
      </c>
      <c r="D19" s="484">
        <v>8820000</v>
      </c>
      <c r="E19" s="230">
        <f t="shared" si="0"/>
        <v>1343701.0199999996</v>
      </c>
      <c r="F19" s="182">
        <f t="shared" si="1"/>
        <v>0.17972810124294941</v>
      </c>
      <c r="G19" s="226"/>
      <c r="H19" s="218" t="s">
        <v>37</v>
      </c>
      <c r="I19" s="209" t="s">
        <v>38</v>
      </c>
      <c r="J19" s="210">
        <f>'BILANS 2022'!K19</f>
        <v>0</v>
      </c>
      <c r="K19" s="514"/>
      <c r="L19" s="212">
        <f t="shared" si="2"/>
        <v>0</v>
      </c>
      <c r="M19" s="213" t="e">
        <f t="shared" si="3"/>
        <v>#DIV/0!</v>
      </c>
    </row>
    <row r="20" spans="1:13" ht="15.75" thickBot="1">
      <c r="A20" s="12" t="s">
        <v>35</v>
      </c>
      <c r="B20" s="30" t="s">
        <v>36</v>
      </c>
      <c r="C20" s="13">
        <f>'BILANS 2022'!D20</f>
        <v>4375392.2699999996</v>
      </c>
      <c r="D20" s="484">
        <v>5200000</v>
      </c>
      <c r="E20" s="230">
        <f t="shared" si="0"/>
        <v>824607.73000000045</v>
      </c>
      <c r="F20" s="182">
        <f t="shared" si="1"/>
        <v>0.18846486877392607</v>
      </c>
      <c r="G20" s="226"/>
      <c r="H20" s="93" t="s">
        <v>41</v>
      </c>
      <c r="I20" s="26" t="s">
        <v>42</v>
      </c>
      <c r="J20" s="27">
        <f>'BILANS 2022'!K20</f>
        <v>58168249.699999996</v>
      </c>
      <c r="K20" s="119">
        <f>K21+K29+K38+K62</f>
        <v>59898928.829999998</v>
      </c>
      <c r="L20" s="159">
        <f t="shared" si="2"/>
        <v>1730679.1300000027</v>
      </c>
      <c r="M20" s="160">
        <f t="shared" si="3"/>
        <v>2.9752986189646391E-2</v>
      </c>
    </row>
    <row r="21" spans="1:13">
      <c r="A21" s="21">
        <v>2</v>
      </c>
      <c r="B21" s="186" t="s">
        <v>39</v>
      </c>
      <c r="C21" s="22">
        <f>'BILANS 2022'!D21</f>
        <v>20231.04</v>
      </c>
      <c r="D21" s="488">
        <v>20200</v>
      </c>
      <c r="E21" s="230">
        <f t="shared" si="0"/>
        <v>-31.040000000000873</v>
      </c>
      <c r="F21" s="182">
        <f t="shared" si="1"/>
        <v>-1.5342760431495796E-3</v>
      </c>
      <c r="G21" s="226"/>
      <c r="H21" s="97" t="s">
        <v>8</v>
      </c>
      <c r="I21" s="28" t="s">
        <v>44</v>
      </c>
      <c r="J21" s="9">
        <f>'BILANS 2022'!K21</f>
        <v>17244499.989999998</v>
      </c>
      <c r="K21" s="82">
        <f>K22+K23+K26</f>
        <v>15950000</v>
      </c>
      <c r="L21" s="171">
        <f t="shared" si="2"/>
        <v>-1294499.9899999984</v>
      </c>
      <c r="M21" s="172">
        <f t="shared" si="3"/>
        <v>-7.5067412261919597E-2</v>
      </c>
    </row>
    <row r="22" spans="1:13" ht="15.75" thickBot="1">
      <c r="A22" s="24">
        <v>3</v>
      </c>
      <c r="B22" s="187" t="s">
        <v>40</v>
      </c>
      <c r="C22" s="25">
        <f>'BILANS 2022'!D22</f>
        <v>0</v>
      </c>
      <c r="D22" s="490"/>
      <c r="E22" s="231">
        <f t="shared" si="0"/>
        <v>0</v>
      </c>
      <c r="F22" s="183" t="e">
        <f t="shared" si="1"/>
        <v>#DIV/0!</v>
      </c>
      <c r="G22" s="226"/>
      <c r="H22" s="70">
        <v>1</v>
      </c>
      <c r="I22" s="30" t="s">
        <v>46</v>
      </c>
      <c r="J22" s="13">
        <f>'BILANS 2022'!K22</f>
        <v>0</v>
      </c>
      <c r="K22" s="484"/>
      <c r="L22" s="165">
        <f t="shared" si="2"/>
        <v>0</v>
      </c>
      <c r="M22" s="166" t="e">
        <f t="shared" si="3"/>
        <v>#DIV/0!</v>
      </c>
    </row>
    <row r="23" spans="1:13">
      <c r="A23" s="8" t="s">
        <v>16</v>
      </c>
      <c r="B23" s="28" t="s">
        <v>43</v>
      </c>
      <c r="C23" s="9">
        <f>'BILANS 2022'!D23</f>
        <v>0</v>
      </c>
      <c r="D23" s="82">
        <f>D24+D25+D26</f>
        <v>0</v>
      </c>
      <c r="E23" s="9">
        <f t="shared" si="0"/>
        <v>0</v>
      </c>
      <c r="F23" s="157" t="e">
        <f t="shared" si="1"/>
        <v>#DIV/0!</v>
      </c>
      <c r="G23" s="226"/>
      <c r="H23" s="70">
        <v>2</v>
      </c>
      <c r="I23" s="30" t="s">
        <v>48</v>
      </c>
      <c r="J23" s="13">
        <f>'BILANS 2022'!K23</f>
        <v>11989673.989999998</v>
      </c>
      <c r="K23" s="173">
        <f>K24+K25</f>
        <v>12650000</v>
      </c>
      <c r="L23" s="165">
        <f t="shared" si="2"/>
        <v>660326.01000000164</v>
      </c>
      <c r="M23" s="166">
        <f t="shared" si="3"/>
        <v>5.5074559204090733E-2</v>
      </c>
    </row>
    <row r="24" spans="1:13">
      <c r="A24" s="12">
        <v>1</v>
      </c>
      <c r="B24" s="188" t="s">
        <v>45</v>
      </c>
      <c r="C24" s="13">
        <f>'BILANS 2022'!D24</f>
        <v>0</v>
      </c>
      <c r="D24" s="484"/>
      <c r="E24" s="229">
        <f t="shared" si="0"/>
        <v>0</v>
      </c>
      <c r="F24" s="181" t="e">
        <f t="shared" si="1"/>
        <v>#DIV/0!</v>
      </c>
      <c r="G24" s="226"/>
      <c r="H24" s="70"/>
      <c r="I24" s="30" t="s">
        <v>49</v>
      </c>
      <c r="J24" s="13">
        <f>'BILANS 2022'!K24</f>
        <v>10434928.369999999</v>
      </c>
      <c r="K24" s="515">
        <v>11000000</v>
      </c>
      <c r="L24" s="165">
        <f t="shared" si="2"/>
        <v>565071.63000000082</v>
      </c>
      <c r="M24" s="166">
        <f t="shared" si="3"/>
        <v>5.4151941437811796E-2</v>
      </c>
    </row>
    <row r="25" spans="1:13" ht="30">
      <c r="A25" s="151">
        <v>2</v>
      </c>
      <c r="B25" s="150" t="s">
        <v>47</v>
      </c>
      <c r="C25" s="208">
        <f>'BILANS 2022'!D25</f>
        <v>0</v>
      </c>
      <c r="D25" s="492"/>
      <c r="E25" s="231">
        <f t="shared" si="0"/>
        <v>0</v>
      </c>
      <c r="F25" s="183" t="e">
        <f t="shared" si="1"/>
        <v>#DIV/0!</v>
      </c>
      <c r="G25" s="226"/>
      <c r="H25" s="70"/>
      <c r="I25" s="30" t="s">
        <v>51</v>
      </c>
      <c r="J25" s="13">
        <f>'BILANS 2022'!K25</f>
        <v>1554745.62</v>
      </c>
      <c r="K25" s="515">
        <v>1650000</v>
      </c>
      <c r="L25" s="165">
        <f t="shared" si="2"/>
        <v>95254.379999999888</v>
      </c>
      <c r="M25" s="166">
        <f t="shared" si="3"/>
        <v>6.1266858561723994E-2</v>
      </c>
    </row>
    <row r="26" spans="1:13" ht="15.75" thickBot="1">
      <c r="A26" s="14">
        <v>3</v>
      </c>
      <c r="B26" s="189" t="s">
        <v>50</v>
      </c>
      <c r="C26" s="15">
        <f>'BILANS 2022'!D26</f>
        <v>0</v>
      </c>
      <c r="D26" s="486"/>
      <c r="E26" s="231">
        <f t="shared" si="0"/>
        <v>0</v>
      </c>
      <c r="F26" s="183" t="e">
        <f t="shared" si="1"/>
        <v>#DIV/0!</v>
      </c>
      <c r="G26" s="226"/>
      <c r="H26" s="70">
        <v>3</v>
      </c>
      <c r="I26" s="30" t="s">
        <v>53</v>
      </c>
      <c r="J26" s="13">
        <f>'BILANS 2022'!K26</f>
        <v>5254826</v>
      </c>
      <c r="K26" s="173">
        <f>K27+K28</f>
        <v>3300000</v>
      </c>
      <c r="L26" s="165">
        <f t="shared" si="2"/>
        <v>-1954826</v>
      </c>
      <c r="M26" s="166">
        <f t="shared" si="3"/>
        <v>-0.37200584757706534</v>
      </c>
    </row>
    <row r="27" spans="1:13">
      <c r="A27" s="18" t="s">
        <v>20</v>
      </c>
      <c r="B27" s="184" t="s">
        <v>52</v>
      </c>
      <c r="C27" s="9">
        <f>'BILANS 2022'!D27</f>
        <v>0</v>
      </c>
      <c r="D27" s="82">
        <f>D28+D29+D30+D46</f>
        <v>0</v>
      </c>
      <c r="E27" s="9">
        <f t="shared" si="0"/>
        <v>0</v>
      </c>
      <c r="F27" s="157" t="e">
        <f t="shared" si="1"/>
        <v>#DIV/0!</v>
      </c>
      <c r="G27" s="226"/>
      <c r="H27" s="70"/>
      <c r="I27" s="30" t="s">
        <v>55</v>
      </c>
      <c r="J27" s="13">
        <f>'BILANS 2022'!K27</f>
        <v>0</v>
      </c>
      <c r="K27" s="484"/>
      <c r="L27" s="165">
        <f t="shared" si="2"/>
        <v>0</v>
      </c>
      <c r="M27" s="166" t="e">
        <f t="shared" si="3"/>
        <v>#DIV/0!</v>
      </c>
    </row>
    <row r="28" spans="1:13" ht="15.75" thickBot="1">
      <c r="A28" s="21">
        <v>1</v>
      </c>
      <c r="B28" s="185" t="s">
        <v>54</v>
      </c>
      <c r="C28" s="22">
        <f>'BILANS 2022'!D28</f>
        <v>0</v>
      </c>
      <c r="D28" s="488"/>
      <c r="E28" s="229">
        <f t="shared" si="0"/>
        <v>0</v>
      </c>
      <c r="F28" s="181" t="e">
        <f t="shared" si="1"/>
        <v>#DIV/0!</v>
      </c>
      <c r="G28" s="226"/>
      <c r="H28" s="70"/>
      <c r="I28" s="30" t="s">
        <v>56</v>
      </c>
      <c r="J28" s="15">
        <f>'BILANS 2022'!K28</f>
        <v>5254826</v>
      </c>
      <c r="K28" s="486">
        <v>3300000</v>
      </c>
      <c r="L28" s="169">
        <f t="shared" si="2"/>
        <v>-1954826</v>
      </c>
      <c r="M28" s="170">
        <f t="shared" si="3"/>
        <v>-0.37200584757706534</v>
      </c>
    </row>
    <row r="29" spans="1:13">
      <c r="A29" s="21">
        <v>2</v>
      </c>
      <c r="B29" s="186" t="s">
        <v>206</v>
      </c>
      <c r="C29" s="22">
        <f>'BILANS 2022'!D29</f>
        <v>0</v>
      </c>
      <c r="D29" s="488"/>
      <c r="E29" s="230">
        <f t="shared" si="0"/>
        <v>0</v>
      </c>
      <c r="F29" s="182" t="e">
        <f t="shared" si="1"/>
        <v>#DIV/0!</v>
      </c>
      <c r="G29" s="226"/>
      <c r="H29" s="97" t="s">
        <v>11</v>
      </c>
      <c r="I29" s="28" t="s">
        <v>58</v>
      </c>
      <c r="J29" s="9">
        <f>'BILANS 2022'!K29</f>
        <v>408048.83</v>
      </c>
      <c r="K29" s="82">
        <f>K30+K31+K32</f>
        <v>1851460</v>
      </c>
      <c r="L29" s="174">
        <f t="shared" si="2"/>
        <v>1443411.17</v>
      </c>
      <c r="M29" s="175">
        <f t="shared" si="3"/>
        <v>3.5373491206922463</v>
      </c>
    </row>
    <row r="30" spans="1:13">
      <c r="A30" s="21">
        <v>3</v>
      </c>
      <c r="B30" s="186" t="s">
        <v>57</v>
      </c>
      <c r="C30" s="22">
        <f>'BILANS 2022'!D30</f>
        <v>0</v>
      </c>
      <c r="D30" s="488"/>
      <c r="E30" s="230">
        <f t="shared" si="0"/>
        <v>0</v>
      </c>
      <c r="F30" s="182" t="e">
        <f t="shared" si="1"/>
        <v>#DIV/0!</v>
      </c>
      <c r="G30" s="226"/>
      <c r="H30" s="70">
        <v>1</v>
      </c>
      <c r="I30" s="30" t="s">
        <v>60</v>
      </c>
      <c r="J30" s="13">
        <f>'BILANS 2022'!K30</f>
        <v>0</v>
      </c>
      <c r="K30" s="484"/>
      <c r="L30" s="163">
        <f t="shared" si="2"/>
        <v>0</v>
      </c>
      <c r="M30" s="164" t="e">
        <f t="shared" si="3"/>
        <v>#DIV/0!</v>
      </c>
    </row>
    <row r="31" spans="1:13" ht="30">
      <c r="A31" s="12" t="s">
        <v>21</v>
      </c>
      <c r="B31" s="188" t="s">
        <v>59</v>
      </c>
      <c r="C31" s="13">
        <f>'BILANS 2022'!D31</f>
        <v>0</v>
      </c>
      <c r="D31" s="83">
        <f>SUM(D32:D35)</f>
        <v>0</v>
      </c>
      <c r="E31" s="230">
        <f t="shared" si="0"/>
        <v>0</v>
      </c>
      <c r="F31" s="182" t="e">
        <f t="shared" si="1"/>
        <v>#DIV/0!</v>
      </c>
      <c r="G31" s="226"/>
      <c r="H31" s="151">
        <v>2</v>
      </c>
      <c r="I31" s="207" t="s">
        <v>62</v>
      </c>
      <c r="J31" s="208">
        <f>'BILANS 2022'!K31</f>
        <v>0</v>
      </c>
      <c r="K31" s="516"/>
      <c r="L31" s="169">
        <f t="shared" si="2"/>
        <v>0</v>
      </c>
      <c r="M31" s="170" t="e">
        <f t="shared" si="3"/>
        <v>#DIV/0!</v>
      </c>
    </row>
    <row r="32" spans="1:13">
      <c r="A32" s="12"/>
      <c r="B32" s="188" t="s">
        <v>61</v>
      </c>
      <c r="C32" s="13">
        <f>'BILANS 2022'!D32</f>
        <v>0</v>
      </c>
      <c r="D32" s="484"/>
      <c r="E32" s="230">
        <f t="shared" si="0"/>
        <v>0</v>
      </c>
      <c r="F32" s="182" t="e">
        <f t="shared" si="1"/>
        <v>#DIV/0!</v>
      </c>
      <c r="G32" s="226"/>
      <c r="H32" s="70">
        <v>3</v>
      </c>
      <c r="I32" s="30" t="s">
        <v>65</v>
      </c>
      <c r="J32" s="13">
        <f>'BILANS 2022'!K32</f>
        <v>408048.83</v>
      </c>
      <c r="K32" s="173">
        <f>SUM(K33:K37)</f>
        <v>1851460</v>
      </c>
      <c r="L32" s="165">
        <f t="shared" si="2"/>
        <v>1443411.17</v>
      </c>
      <c r="M32" s="166">
        <f t="shared" si="3"/>
        <v>3.5373491206922463</v>
      </c>
    </row>
    <row r="33" spans="1:13">
      <c r="A33" s="12"/>
      <c r="B33" s="188" t="s">
        <v>63</v>
      </c>
      <c r="C33" s="13">
        <f>'BILANS 2022'!D33</f>
        <v>0</v>
      </c>
      <c r="D33" s="484"/>
      <c r="E33" s="230">
        <f t="shared" si="0"/>
        <v>0</v>
      </c>
      <c r="F33" s="182" t="e">
        <f t="shared" si="1"/>
        <v>#DIV/0!</v>
      </c>
      <c r="G33" s="226"/>
      <c r="H33" s="70" t="s">
        <v>21</v>
      </c>
      <c r="I33" s="30" t="s">
        <v>67</v>
      </c>
      <c r="J33" s="13">
        <f>'BILANS 2022'!K33</f>
        <v>0</v>
      </c>
      <c r="K33" s="515">
        <v>1561100</v>
      </c>
      <c r="L33" s="165">
        <f t="shared" si="2"/>
        <v>1561100</v>
      </c>
      <c r="M33" s="166" t="e">
        <f t="shared" si="3"/>
        <v>#DIV/0!</v>
      </c>
    </row>
    <row r="34" spans="1:13">
      <c r="A34" s="12"/>
      <c r="B34" s="188" t="s">
        <v>64</v>
      </c>
      <c r="C34" s="13">
        <f>'BILANS 2022'!D34</f>
        <v>0</v>
      </c>
      <c r="D34" s="484"/>
      <c r="E34" s="230">
        <f t="shared" si="0"/>
        <v>0</v>
      </c>
      <c r="F34" s="182" t="e">
        <f t="shared" si="1"/>
        <v>#DIV/0!</v>
      </c>
      <c r="G34" s="226"/>
      <c r="H34" s="70" t="s">
        <v>24</v>
      </c>
      <c r="I34" s="30" t="s">
        <v>69</v>
      </c>
      <c r="J34" s="13">
        <f>'BILANS 2022'!K34</f>
        <v>0</v>
      </c>
      <c r="K34" s="484"/>
      <c r="L34" s="165">
        <f t="shared" si="2"/>
        <v>0</v>
      </c>
      <c r="M34" s="166" t="e">
        <f t="shared" si="3"/>
        <v>#DIV/0!</v>
      </c>
    </row>
    <row r="35" spans="1:13">
      <c r="A35" s="12"/>
      <c r="B35" s="30" t="s">
        <v>66</v>
      </c>
      <c r="C35" s="13">
        <f>'BILANS 2022'!D35</f>
        <v>0</v>
      </c>
      <c r="D35" s="484"/>
      <c r="E35" s="230">
        <f t="shared" si="0"/>
        <v>0</v>
      </c>
      <c r="F35" s="182" t="e">
        <f t="shared" si="1"/>
        <v>#DIV/0!</v>
      </c>
      <c r="G35" s="226"/>
      <c r="H35" s="70" t="s">
        <v>27</v>
      </c>
      <c r="I35" s="30" t="s">
        <v>70</v>
      </c>
      <c r="J35" s="13">
        <f>'BILANS 2022'!K35</f>
        <v>408048.83</v>
      </c>
      <c r="K35" s="484">
        <v>290360</v>
      </c>
      <c r="L35" s="165">
        <f t="shared" si="2"/>
        <v>-117688.83000000002</v>
      </c>
      <c r="M35" s="166">
        <f t="shared" si="3"/>
        <v>-0.28841849638436656</v>
      </c>
    </row>
    <row r="36" spans="1:13" ht="30">
      <c r="A36" s="215" t="s">
        <v>24</v>
      </c>
      <c r="B36" s="207" t="s">
        <v>68</v>
      </c>
      <c r="C36" s="208">
        <f>'BILANS 2022'!D36</f>
        <v>0</v>
      </c>
      <c r="D36" s="228">
        <f>SUM(D37:D40)</f>
        <v>0</v>
      </c>
      <c r="E36" s="231">
        <f t="shared" si="0"/>
        <v>0</v>
      </c>
      <c r="F36" s="183" t="e">
        <f t="shared" si="1"/>
        <v>#DIV/0!</v>
      </c>
      <c r="G36" s="226"/>
      <c r="H36" s="70" t="s">
        <v>31</v>
      </c>
      <c r="I36" s="30" t="s">
        <v>71</v>
      </c>
      <c r="J36" s="13">
        <f>'BILANS 2022'!K36</f>
        <v>0</v>
      </c>
      <c r="K36" s="484"/>
      <c r="L36" s="165">
        <f t="shared" si="2"/>
        <v>0</v>
      </c>
      <c r="M36" s="166" t="e">
        <f t="shared" si="3"/>
        <v>#DIV/0!</v>
      </c>
    </row>
    <row r="37" spans="1:13" ht="15.75" thickBot="1">
      <c r="A37" s="69"/>
      <c r="B37" s="190" t="s">
        <v>61</v>
      </c>
      <c r="C37" s="32">
        <f>'BILANS 2022'!D37</f>
        <v>0</v>
      </c>
      <c r="D37" s="494"/>
      <c r="E37" s="230">
        <f t="shared" si="0"/>
        <v>0</v>
      </c>
      <c r="F37" s="182" t="e">
        <f t="shared" si="1"/>
        <v>#DIV/0!</v>
      </c>
      <c r="G37" s="226"/>
      <c r="H37" s="70" t="s">
        <v>35</v>
      </c>
      <c r="I37" s="30" t="s">
        <v>72</v>
      </c>
      <c r="J37" s="15">
        <f>'BILANS 2022'!K37</f>
        <v>0</v>
      </c>
      <c r="K37" s="486"/>
      <c r="L37" s="169">
        <f t="shared" si="2"/>
        <v>0</v>
      </c>
      <c r="M37" s="170" t="e">
        <f t="shared" si="3"/>
        <v>#DIV/0!</v>
      </c>
    </row>
    <row r="38" spans="1:13">
      <c r="A38" s="69"/>
      <c r="B38" s="190" t="s">
        <v>63</v>
      </c>
      <c r="C38" s="32">
        <f>'BILANS 2022'!D38</f>
        <v>0</v>
      </c>
      <c r="D38" s="494"/>
      <c r="E38" s="230">
        <f t="shared" si="0"/>
        <v>0</v>
      </c>
      <c r="F38" s="182" t="e">
        <f t="shared" si="1"/>
        <v>#DIV/0!</v>
      </c>
      <c r="G38" s="226"/>
      <c r="H38" s="97" t="s">
        <v>16</v>
      </c>
      <c r="I38" s="28" t="s">
        <v>73</v>
      </c>
      <c r="J38" s="9">
        <f>'BILANS 2022'!K38</f>
        <v>28152108.349999998</v>
      </c>
      <c r="K38" s="82">
        <f>K39+K49+K61</f>
        <v>29648488.829999998</v>
      </c>
      <c r="L38" s="174">
        <f t="shared" si="2"/>
        <v>1496380.4800000004</v>
      </c>
      <c r="M38" s="175">
        <f t="shared" si="3"/>
        <v>5.3153407247382968E-2</v>
      </c>
    </row>
    <row r="39" spans="1:13">
      <c r="A39" s="69"/>
      <c r="B39" s="190" t="s">
        <v>64</v>
      </c>
      <c r="C39" s="32">
        <f>'BILANS 2022'!D39</f>
        <v>0</v>
      </c>
      <c r="D39" s="494"/>
      <c r="E39" s="230">
        <f t="shared" si="0"/>
        <v>0</v>
      </c>
      <c r="F39" s="182" t="e">
        <f t="shared" si="1"/>
        <v>#DIV/0!</v>
      </c>
      <c r="G39" s="226"/>
      <c r="H39" s="70">
        <v>1</v>
      </c>
      <c r="I39" s="30" t="s">
        <v>60</v>
      </c>
      <c r="J39" s="13">
        <f>'BILANS 2022'!K39</f>
        <v>0</v>
      </c>
      <c r="K39" s="173">
        <f>K40+K43</f>
        <v>0</v>
      </c>
      <c r="L39" s="163">
        <f t="shared" si="2"/>
        <v>0</v>
      </c>
      <c r="M39" s="164" t="e">
        <f t="shared" si="3"/>
        <v>#DIV/0!</v>
      </c>
    </row>
    <row r="40" spans="1:13">
      <c r="A40" s="69"/>
      <c r="B40" s="33" t="s">
        <v>66</v>
      </c>
      <c r="C40" s="32">
        <f>'BILANS 2022'!D40</f>
        <v>0</v>
      </c>
      <c r="D40" s="494"/>
      <c r="E40" s="230">
        <f t="shared" si="0"/>
        <v>0</v>
      </c>
      <c r="F40" s="182" t="e">
        <f t="shared" si="1"/>
        <v>#DIV/0!</v>
      </c>
      <c r="G40" s="226"/>
      <c r="H40" s="70" t="s">
        <v>21</v>
      </c>
      <c r="I40" s="30" t="s">
        <v>75</v>
      </c>
      <c r="J40" s="13">
        <f>'BILANS 2022'!K40</f>
        <v>0</v>
      </c>
      <c r="K40" s="173">
        <f>K41+K42</f>
        <v>0</v>
      </c>
      <c r="L40" s="165">
        <f t="shared" si="2"/>
        <v>0</v>
      </c>
      <c r="M40" s="166" t="e">
        <f t="shared" si="3"/>
        <v>#DIV/0!</v>
      </c>
    </row>
    <row r="41" spans="1:13">
      <c r="A41" s="12" t="s">
        <v>27</v>
      </c>
      <c r="B41" s="188" t="s">
        <v>74</v>
      </c>
      <c r="C41" s="13">
        <f>'BILANS 2022'!D41</f>
        <v>0</v>
      </c>
      <c r="D41" s="83">
        <f>SUM(D42:D45)</f>
        <v>0</v>
      </c>
      <c r="E41" s="230">
        <f t="shared" si="0"/>
        <v>0</v>
      </c>
      <c r="F41" s="182" t="e">
        <f t="shared" si="1"/>
        <v>#DIV/0!</v>
      </c>
      <c r="G41" s="226"/>
      <c r="H41" s="70"/>
      <c r="I41" s="29" t="s">
        <v>76</v>
      </c>
      <c r="J41" s="13">
        <f>'BILANS 2022'!K41</f>
        <v>0</v>
      </c>
      <c r="K41" s="515"/>
      <c r="L41" s="165">
        <f t="shared" si="2"/>
        <v>0</v>
      </c>
      <c r="M41" s="166" t="e">
        <f t="shared" si="3"/>
        <v>#DIV/0!</v>
      </c>
    </row>
    <row r="42" spans="1:13">
      <c r="A42" s="12"/>
      <c r="B42" s="188" t="s">
        <v>61</v>
      </c>
      <c r="C42" s="13">
        <f>'BILANS 2022'!D42</f>
        <v>0</v>
      </c>
      <c r="D42" s="484"/>
      <c r="E42" s="230">
        <f t="shared" si="0"/>
        <v>0</v>
      </c>
      <c r="F42" s="182" t="e">
        <f t="shared" si="1"/>
        <v>#DIV/0!</v>
      </c>
      <c r="G42" s="226"/>
      <c r="H42" s="70"/>
      <c r="I42" s="29" t="s">
        <v>77</v>
      </c>
      <c r="J42" s="13">
        <f>'BILANS 2022'!K42</f>
        <v>0</v>
      </c>
      <c r="K42" s="515"/>
      <c r="L42" s="165">
        <f t="shared" si="2"/>
        <v>0</v>
      </c>
      <c r="M42" s="166" t="e">
        <f t="shared" si="3"/>
        <v>#DIV/0!</v>
      </c>
    </row>
    <row r="43" spans="1:13">
      <c r="A43" s="12"/>
      <c r="B43" s="188" t="s">
        <v>63</v>
      </c>
      <c r="C43" s="13">
        <f>'BILANS 2022'!D43</f>
        <v>0</v>
      </c>
      <c r="D43" s="484"/>
      <c r="E43" s="230">
        <f t="shared" si="0"/>
        <v>0</v>
      </c>
      <c r="F43" s="182" t="e">
        <f t="shared" si="1"/>
        <v>#DIV/0!</v>
      </c>
      <c r="G43" s="226"/>
      <c r="H43" s="70" t="s">
        <v>24</v>
      </c>
      <c r="I43" s="30" t="s">
        <v>78</v>
      </c>
      <c r="J43" s="13">
        <f>'BILANS 2022'!K43</f>
        <v>0</v>
      </c>
      <c r="K43" s="515"/>
      <c r="L43" s="165">
        <f t="shared" si="2"/>
        <v>0</v>
      </c>
      <c r="M43" s="166" t="e">
        <f t="shared" si="3"/>
        <v>#DIV/0!</v>
      </c>
    </row>
    <row r="44" spans="1:13" ht="30">
      <c r="A44" s="12"/>
      <c r="B44" s="188" t="s">
        <v>64</v>
      </c>
      <c r="C44" s="13">
        <f>'BILANS 2022'!D44</f>
        <v>0</v>
      </c>
      <c r="D44" s="484"/>
      <c r="E44" s="230">
        <f t="shared" si="0"/>
        <v>0</v>
      </c>
      <c r="F44" s="182" t="e">
        <f t="shared" si="1"/>
        <v>#DIV/0!</v>
      </c>
      <c r="G44" s="226"/>
      <c r="H44" s="151">
        <v>2</v>
      </c>
      <c r="I44" s="207" t="s">
        <v>62</v>
      </c>
      <c r="J44" s="208">
        <f>'BILANS 2022'!K44</f>
        <v>0</v>
      </c>
      <c r="K44" s="216">
        <f>K45+K48</f>
        <v>0</v>
      </c>
      <c r="L44" s="169">
        <f>K44-J44</f>
        <v>0</v>
      </c>
      <c r="M44" s="170" t="e">
        <f>L44/J44</f>
        <v>#DIV/0!</v>
      </c>
    </row>
    <row r="45" spans="1:13">
      <c r="A45" s="12"/>
      <c r="B45" s="30" t="s">
        <v>66</v>
      </c>
      <c r="C45" s="13">
        <f>'BILANS 2022'!D45</f>
        <v>0</v>
      </c>
      <c r="D45" s="484"/>
      <c r="E45" s="230">
        <f t="shared" si="0"/>
        <v>0</v>
      </c>
      <c r="F45" s="182" t="e">
        <f t="shared" si="1"/>
        <v>#DIV/0!</v>
      </c>
      <c r="G45" s="226"/>
      <c r="H45" s="219" t="s">
        <v>21</v>
      </c>
      <c r="I45" s="33" t="s">
        <v>75</v>
      </c>
      <c r="J45" s="32">
        <f>'BILANS 2022'!K45</f>
        <v>0</v>
      </c>
      <c r="K45" s="176">
        <f>K46+K47</f>
        <v>0</v>
      </c>
      <c r="L45" s="165">
        <f t="shared" si="2"/>
        <v>0</v>
      </c>
      <c r="M45" s="166" t="e">
        <f t="shared" si="3"/>
        <v>#DIV/0!</v>
      </c>
    </row>
    <row r="46" spans="1:13" ht="15.75" thickBot="1">
      <c r="A46" s="24">
        <v>4</v>
      </c>
      <c r="B46" s="191" t="s">
        <v>79</v>
      </c>
      <c r="C46" s="25">
        <f>'BILANS 2022'!D46</f>
        <v>0</v>
      </c>
      <c r="D46" s="490"/>
      <c r="E46" s="231">
        <f t="shared" si="0"/>
        <v>0</v>
      </c>
      <c r="F46" s="183" t="e">
        <f t="shared" si="1"/>
        <v>#DIV/0!</v>
      </c>
      <c r="G46" s="226"/>
      <c r="H46" s="219"/>
      <c r="I46" s="31" t="s">
        <v>76</v>
      </c>
      <c r="J46" s="32">
        <f>'BILANS 2022'!K46</f>
        <v>0</v>
      </c>
      <c r="K46" s="517"/>
      <c r="L46" s="165">
        <f t="shared" si="2"/>
        <v>0</v>
      </c>
      <c r="M46" s="166" t="e">
        <f t="shared" si="3"/>
        <v>#DIV/0!</v>
      </c>
    </row>
    <row r="47" spans="1:13">
      <c r="A47" s="8" t="s">
        <v>80</v>
      </c>
      <c r="B47" s="28" t="s">
        <v>81</v>
      </c>
      <c r="C47" s="9">
        <f>'BILANS 2022'!D47</f>
        <v>36902.800000000003</v>
      </c>
      <c r="D47" s="82">
        <f>D48+D49</f>
        <v>0</v>
      </c>
      <c r="E47" s="9">
        <f t="shared" si="0"/>
        <v>-36902.800000000003</v>
      </c>
      <c r="F47" s="157">
        <f t="shared" si="1"/>
        <v>-1</v>
      </c>
      <c r="G47" s="226"/>
      <c r="H47" s="219"/>
      <c r="I47" s="31" t="s">
        <v>77</v>
      </c>
      <c r="J47" s="32">
        <f>'BILANS 2022'!K47</f>
        <v>0</v>
      </c>
      <c r="K47" s="517"/>
      <c r="L47" s="165">
        <f t="shared" si="2"/>
        <v>0</v>
      </c>
      <c r="M47" s="166" t="e">
        <f t="shared" si="3"/>
        <v>#DIV/0!</v>
      </c>
    </row>
    <row r="48" spans="1:13" ht="30">
      <c r="A48" s="12">
        <v>1</v>
      </c>
      <c r="B48" s="30" t="s">
        <v>82</v>
      </c>
      <c r="C48" s="13">
        <f>'BILANS 2022'!D48</f>
        <v>0</v>
      </c>
      <c r="D48" s="484"/>
      <c r="E48" s="229">
        <f t="shared" si="0"/>
        <v>0</v>
      </c>
      <c r="F48" s="181" t="e">
        <f t="shared" si="1"/>
        <v>#DIV/0!</v>
      </c>
      <c r="G48" s="226"/>
      <c r="H48" s="219" t="s">
        <v>24</v>
      </c>
      <c r="I48" s="33" t="s">
        <v>78</v>
      </c>
      <c r="J48" s="32">
        <f>'BILANS 2022'!K48</f>
        <v>0</v>
      </c>
      <c r="K48" s="517"/>
      <c r="L48" s="165">
        <f t="shared" si="2"/>
        <v>0</v>
      </c>
      <c r="M48" s="166" t="e">
        <f t="shared" si="3"/>
        <v>#DIV/0!</v>
      </c>
    </row>
    <row r="49" spans="1:13" ht="15.75" thickBot="1">
      <c r="A49" s="14">
        <v>2</v>
      </c>
      <c r="B49" s="40" t="s">
        <v>83</v>
      </c>
      <c r="C49" s="15">
        <f>'BILANS 2022'!D49</f>
        <v>36902.800000000003</v>
      </c>
      <c r="D49" s="486">
        <v>0</v>
      </c>
      <c r="E49" s="231">
        <f t="shared" si="0"/>
        <v>-36902.800000000003</v>
      </c>
      <c r="F49" s="183">
        <f t="shared" si="1"/>
        <v>-1</v>
      </c>
      <c r="G49" s="226"/>
      <c r="H49" s="70">
        <v>3</v>
      </c>
      <c r="I49" s="30" t="s">
        <v>65</v>
      </c>
      <c r="J49" s="13">
        <f>'BILANS 2022'!K49</f>
        <v>26230756.439999998</v>
      </c>
      <c r="K49" s="173">
        <f>K50+K51+K52+K53+K56+K57+K58+K59+K60</f>
        <v>27498488.829999998</v>
      </c>
      <c r="L49" s="165">
        <f t="shared" si="2"/>
        <v>1267732.3900000006</v>
      </c>
      <c r="M49" s="166">
        <f t="shared" si="3"/>
        <v>4.8329997379214E-2</v>
      </c>
    </row>
    <row r="50" spans="1:13">
      <c r="A50" s="34" t="s">
        <v>41</v>
      </c>
      <c r="B50" s="192" t="s">
        <v>84</v>
      </c>
      <c r="C50" s="35">
        <f>'BILANS 2022'!D50</f>
        <v>52107893.539999999</v>
      </c>
      <c r="D50" s="267">
        <f>D51+D57+D75+D92</f>
        <v>52710000</v>
      </c>
      <c r="E50" s="35">
        <f t="shared" si="0"/>
        <v>602106.46000000089</v>
      </c>
      <c r="F50" s="156">
        <f t="shared" si="1"/>
        <v>1.1554995205050864E-2</v>
      </c>
      <c r="G50" s="226"/>
      <c r="H50" s="70" t="s">
        <v>21</v>
      </c>
      <c r="I50" s="30" t="s">
        <v>67</v>
      </c>
      <c r="J50" s="13">
        <f>'BILANS 2022'!K50</f>
        <v>0</v>
      </c>
      <c r="K50" s="515">
        <v>180800</v>
      </c>
      <c r="L50" s="165">
        <f t="shared" si="2"/>
        <v>180800</v>
      </c>
      <c r="M50" s="166" t="e">
        <f t="shared" si="3"/>
        <v>#DIV/0!</v>
      </c>
    </row>
    <row r="51" spans="1:13" ht="15.75" thickBot="1">
      <c r="A51" s="36" t="s">
        <v>8</v>
      </c>
      <c r="B51" s="193" t="s">
        <v>85</v>
      </c>
      <c r="C51" s="37">
        <f>'BILANS 2022'!D51</f>
        <v>640219.02</v>
      </c>
      <c r="D51" s="88">
        <f>D52+D53+D54+D55+D56</f>
        <v>680000</v>
      </c>
      <c r="E51" s="232">
        <f t="shared" si="0"/>
        <v>39780.979999999981</v>
      </c>
      <c r="F51" s="155">
        <f t="shared" si="1"/>
        <v>6.2136516968833544E-2</v>
      </c>
      <c r="G51" s="226"/>
      <c r="H51" s="70" t="s">
        <v>24</v>
      </c>
      <c r="I51" s="30" t="s">
        <v>69</v>
      </c>
      <c r="J51" s="13">
        <f>'BILANS 2022'!K51</f>
        <v>0</v>
      </c>
      <c r="K51" s="515"/>
      <c r="L51" s="165">
        <f t="shared" si="2"/>
        <v>0</v>
      </c>
      <c r="M51" s="166" t="e">
        <f t="shared" si="3"/>
        <v>#DIV/0!</v>
      </c>
    </row>
    <row r="52" spans="1:13">
      <c r="A52" s="38">
        <v>1</v>
      </c>
      <c r="B52" s="66" t="s">
        <v>86</v>
      </c>
      <c r="C52" s="39">
        <f>'BILANS 2022'!D52</f>
        <v>583232.09</v>
      </c>
      <c r="D52" s="496">
        <v>620000</v>
      </c>
      <c r="E52" s="229">
        <f t="shared" si="0"/>
        <v>36767.910000000033</v>
      </c>
      <c r="F52" s="181">
        <f t="shared" si="1"/>
        <v>6.3041644364938892E-2</v>
      </c>
      <c r="G52" s="226"/>
      <c r="H52" s="70" t="s">
        <v>27</v>
      </c>
      <c r="I52" s="30" t="s">
        <v>70</v>
      </c>
      <c r="J52" s="13">
        <f>'BILANS 2022'!K52</f>
        <v>111334.73</v>
      </c>
      <c r="K52" s="515">
        <v>117688.83</v>
      </c>
      <c r="L52" s="165">
        <f t="shared" si="2"/>
        <v>6354.1000000000058</v>
      </c>
      <c r="M52" s="166">
        <f t="shared" si="3"/>
        <v>5.7072038527420925E-2</v>
      </c>
    </row>
    <row r="53" spans="1:13">
      <c r="A53" s="12">
        <v>2</v>
      </c>
      <c r="B53" s="30" t="s">
        <v>87</v>
      </c>
      <c r="C53" s="13">
        <f>'BILANS 2022'!D53</f>
        <v>0</v>
      </c>
      <c r="D53" s="484"/>
      <c r="E53" s="230">
        <f t="shared" si="0"/>
        <v>0</v>
      </c>
      <c r="F53" s="182" t="e">
        <f t="shared" si="1"/>
        <v>#DIV/0!</v>
      </c>
      <c r="G53" s="226"/>
      <c r="H53" s="220" t="s">
        <v>31</v>
      </c>
      <c r="I53" s="177" t="s">
        <v>75</v>
      </c>
      <c r="J53" s="154">
        <f>'BILANS 2022'!K53</f>
        <v>6168628.79</v>
      </c>
      <c r="K53" s="178">
        <f>K54+K55</f>
        <v>6400000</v>
      </c>
      <c r="L53" s="163">
        <f t="shared" si="2"/>
        <v>231371.20999999996</v>
      </c>
      <c r="M53" s="164">
        <f t="shared" si="3"/>
        <v>3.7507721387786727E-2</v>
      </c>
    </row>
    <row r="54" spans="1:13">
      <c r="A54" s="12">
        <v>3</v>
      </c>
      <c r="B54" s="30" t="s">
        <v>88</v>
      </c>
      <c r="C54" s="13">
        <f>'BILANS 2022'!D54</f>
        <v>0</v>
      </c>
      <c r="D54" s="484"/>
      <c r="E54" s="230">
        <f t="shared" si="0"/>
        <v>0</v>
      </c>
      <c r="F54" s="182" t="e">
        <f t="shared" si="1"/>
        <v>#DIV/0!</v>
      </c>
      <c r="G54" s="226"/>
      <c r="H54" s="70"/>
      <c r="I54" s="29" t="s">
        <v>76</v>
      </c>
      <c r="J54" s="13">
        <f>'BILANS 2022'!K54</f>
        <v>6168628.79</v>
      </c>
      <c r="K54" s="484">
        <v>6400000</v>
      </c>
      <c r="L54" s="165">
        <f t="shared" si="2"/>
        <v>231371.20999999996</v>
      </c>
      <c r="M54" s="166">
        <f t="shared" si="3"/>
        <v>3.7507721387786727E-2</v>
      </c>
    </row>
    <row r="55" spans="1:13">
      <c r="A55" s="198">
        <v>4</v>
      </c>
      <c r="B55" s="177" t="s">
        <v>89</v>
      </c>
      <c r="C55" s="154">
        <f>'BILANS 2022'!D55</f>
        <v>56986.93</v>
      </c>
      <c r="D55" s="498">
        <v>60000</v>
      </c>
      <c r="E55" s="230">
        <f t="shared" si="0"/>
        <v>3013.0699999999997</v>
      </c>
      <c r="F55" s="182">
        <f t="shared" si="1"/>
        <v>5.2873000879324429E-2</v>
      </c>
      <c r="G55" s="226"/>
      <c r="H55" s="70"/>
      <c r="I55" s="29" t="s">
        <v>77</v>
      </c>
      <c r="J55" s="13">
        <f>'BILANS 2022'!K55</f>
        <v>0</v>
      </c>
      <c r="K55" s="484"/>
      <c r="L55" s="165">
        <f t="shared" si="2"/>
        <v>0</v>
      </c>
      <c r="M55" s="166" t="e">
        <f t="shared" si="3"/>
        <v>#DIV/0!</v>
      </c>
    </row>
    <row r="56" spans="1:13" ht="15.75" thickBot="1">
      <c r="A56" s="14">
        <v>5</v>
      </c>
      <c r="B56" s="194" t="s">
        <v>90</v>
      </c>
      <c r="C56" s="15">
        <f>'BILANS 2022'!D56</f>
        <v>0</v>
      </c>
      <c r="D56" s="486"/>
      <c r="E56" s="231">
        <f t="shared" si="0"/>
        <v>0</v>
      </c>
      <c r="F56" s="183" t="e">
        <f t="shared" si="1"/>
        <v>#DIV/0!</v>
      </c>
      <c r="G56" s="226"/>
      <c r="H56" s="70" t="s">
        <v>35</v>
      </c>
      <c r="I56" s="30" t="s">
        <v>93</v>
      </c>
      <c r="J56" s="13">
        <f>'BILANS 2022'!K56</f>
        <v>0</v>
      </c>
      <c r="K56" s="498"/>
      <c r="L56" s="165">
        <f t="shared" si="2"/>
        <v>0</v>
      </c>
      <c r="M56" s="166" t="e">
        <f t="shared" si="3"/>
        <v>#DIV/0!</v>
      </c>
    </row>
    <row r="57" spans="1:13">
      <c r="A57" s="18" t="s">
        <v>11</v>
      </c>
      <c r="B57" s="184" t="s">
        <v>91</v>
      </c>
      <c r="C57" s="9">
        <f>'BILANS 2022'!D57</f>
        <v>2378142.91</v>
      </c>
      <c r="D57" s="82">
        <f>D58+D63+D68</f>
        <v>2900000</v>
      </c>
      <c r="E57" s="9">
        <f t="shared" si="0"/>
        <v>521857.08999999985</v>
      </c>
      <c r="F57" s="157">
        <f t="shared" si="1"/>
        <v>0.21943891084325115</v>
      </c>
      <c r="G57" s="226"/>
      <c r="H57" s="70" t="s">
        <v>95</v>
      </c>
      <c r="I57" s="30" t="s">
        <v>71</v>
      </c>
      <c r="J57" s="13">
        <f>'BILANS 2022'!K57</f>
        <v>0</v>
      </c>
      <c r="K57" s="484"/>
      <c r="L57" s="165">
        <f t="shared" si="2"/>
        <v>0</v>
      </c>
      <c r="M57" s="166" t="e">
        <f t="shared" si="3"/>
        <v>#DIV/0!</v>
      </c>
    </row>
    <row r="58" spans="1:13" ht="30">
      <c r="A58" s="21">
        <v>1</v>
      </c>
      <c r="B58" s="186" t="s">
        <v>92</v>
      </c>
      <c r="C58" s="22">
        <f>'BILANS 2022'!D58</f>
        <v>0</v>
      </c>
      <c r="D58" s="85">
        <f>D59+D62</f>
        <v>0</v>
      </c>
      <c r="E58" s="229">
        <f t="shared" si="0"/>
        <v>0</v>
      </c>
      <c r="F58" s="181" t="e">
        <f t="shared" si="1"/>
        <v>#DIV/0!</v>
      </c>
      <c r="G58" s="226"/>
      <c r="H58" s="70" t="s">
        <v>96</v>
      </c>
      <c r="I58" s="33" t="s">
        <v>97</v>
      </c>
      <c r="J58" s="13">
        <f>'BILANS 2022'!K58</f>
        <v>8920841.1500000004</v>
      </c>
      <c r="K58" s="484">
        <v>8900000</v>
      </c>
      <c r="L58" s="165">
        <f t="shared" si="2"/>
        <v>-20841.150000000373</v>
      </c>
      <c r="M58" s="166">
        <f t="shared" si="3"/>
        <v>-2.3362314886640899E-3</v>
      </c>
    </row>
    <row r="59" spans="1:13">
      <c r="A59" s="12" t="s">
        <v>21</v>
      </c>
      <c r="B59" s="30" t="s">
        <v>94</v>
      </c>
      <c r="C59" s="13">
        <f>'BILANS 2022'!D59</f>
        <v>0</v>
      </c>
      <c r="D59" s="83">
        <f>D60+D61</f>
        <v>0</v>
      </c>
      <c r="E59" s="230">
        <f t="shared" si="0"/>
        <v>0</v>
      </c>
      <c r="F59" s="182" t="e">
        <f t="shared" si="1"/>
        <v>#DIV/0!</v>
      </c>
      <c r="G59" s="226"/>
      <c r="H59" s="70" t="s">
        <v>98</v>
      </c>
      <c r="I59" s="30" t="s">
        <v>99</v>
      </c>
      <c r="J59" s="13">
        <f>'BILANS 2022'!K59</f>
        <v>5911346.5099999998</v>
      </c>
      <c r="K59" s="484">
        <v>6600000</v>
      </c>
      <c r="L59" s="165">
        <f t="shared" si="2"/>
        <v>688653.49000000022</v>
      </c>
      <c r="M59" s="166">
        <f t="shared" si="3"/>
        <v>0.11649689099345324</v>
      </c>
    </row>
    <row r="60" spans="1:13">
      <c r="A60" s="12"/>
      <c r="B60" s="188" t="s">
        <v>76</v>
      </c>
      <c r="C60" s="13">
        <f>'BILANS 2022'!D60</f>
        <v>0</v>
      </c>
      <c r="D60" s="484"/>
      <c r="E60" s="230">
        <f t="shared" si="0"/>
        <v>0</v>
      </c>
      <c r="F60" s="182" t="e">
        <f t="shared" si="1"/>
        <v>#DIV/0!</v>
      </c>
      <c r="G60" s="226"/>
      <c r="H60" s="70" t="s">
        <v>100</v>
      </c>
      <c r="I60" s="30" t="s">
        <v>78</v>
      </c>
      <c r="J60" s="13">
        <f>'BILANS 2022'!K60</f>
        <v>5118605.26</v>
      </c>
      <c r="K60" s="484">
        <v>5300000</v>
      </c>
      <c r="L60" s="165">
        <f t="shared" si="2"/>
        <v>181394.74000000022</v>
      </c>
      <c r="M60" s="166">
        <f t="shared" si="3"/>
        <v>3.5438313912880291E-2</v>
      </c>
    </row>
    <row r="61" spans="1:13" ht="15.75" thickBot="1">
      <c r="A61" s="12"/>
      <c r="B61" s="188" t="s">
        <v>77</v>
      </c>
      <c r="C61" s="13">
        <f>'BILANS 2022'!D61</f>
        <v>0</v>
      </c>
      <c r="D61" s="484"/>
      <c r="E61" s="230">
        <f t="shared" si="0"/>
        <v>0</v>
      </c>
      <c r="F61" s="182" t="e">
        <f t="shared" si="1"/>
        <v>#DIV/0!</v>
      </c>
      <c r="G61" s="226"/>
      <c r="H61" s="70">
        <v>4</v>
      </c>
      <c r="I61" s="30" t="s">
        <v>102</v>
      </c>
      <c r="J61" s="15">
        <f>'BILANS 2022'!K61</f>
        <v>1921351.91</v>
      </c>
      <c r="K61" s="486">
        <v>2150000</v>
      </c>
      <c r="L61" s="169">
        <f t="shared" si="2"/>
        <v>228648.09000000008</v>
      </c>
      <c r="M61" s="170">
        <f t="shared" si="3"/>
        <v>0.11900375397654253</v>
      </c>
    </row>
    <row r="62" spans="1:13">
      <c r="A62" s="12" t="s">
        <v>24</v>
      </c>
      <c r="B62" s="30" t="s">
        <v>78</v>
      </c>
      <c r="C62" s="13">
        <f>'BILANS 2022'!D62</f>
        <v>0</v>
      </c>
      <c r="D62" s="484"/>
      <c r="E62" s="230">
        <f t="shared" si="0"/>
        <v>0</v>
      </c>
      <c r="F62" s="182" t="e">
        <f t="shared" si="1"/>
        <v>#DIV/0!</v>
      </c>
      <c r="G62" s="226"/>
      <c r="H62" s="97" t="s">
        <v>20</v>
      </c>
      <c r="I62" s="28" t="s">
        <v>103</v>
      </c>
      <c r="J62" s="9">
        <f>'BILANS 2022'!K62</f>
        <v>12363592.529999999</v>
      </c>
      <c r="K62" s="82">
        <f>K63+K64</f>
        <v>12448980</v>
      </c>
      <c r="L62" s="174">
        <f t="shared" si="2"/>
        <v>85387.470000000671</v>
      </c>
      <c r="M62" s="175">
        <f t="shared" si="3"/>
        <v>6.9063639708935535E-3</v>
      </c>
    </row>
    <row r="63" spans="1:13" ht="30">
      <c r="A63" s="67">
        <v>2</v>
      </c>
      <c r="B63" s="195" t="s">
        <v>101</v>
      </c>
      <c r="C63" s="68">
        <f>'BILANS 2022'!D63</f>
        <v>0</v>
      </c>
      <c r="D63" s="90">
        <f>D64+D67</f>
        <v>0</v>
      </c>
      <c r="E63" s="230">
        <f t="shared" si="0"/>
        <v>0</v>
      </c>
      <c r="F63" s="182" t="e">
        <f t="shared" si="1"/>
        <v>#DIV/0!</v>
      </c>
      <c r="G63" s="226"/>
      <c r="H63" s="70">
        <v>1</v>
      </c>
      <c r="I63" s="30" t="s">
        <v>104</v>
      </c>
      <c r="J63" s="13">
        <f>'BILANS 2022'!K63</f>
        <v>0</v>
      </c>
      <c r="K63" s="484"/>
      <c r="L63" s="163">
        <f t="shared" si="2"/>
        <v>0</v>
      </c>
      <c r="M63" s="164" t="e">
        <f t="shared" si="3"/>
        <v>#DIV/0!</v>
      </c>
    </row>
    <row r="64" spans="1:13">
      <c r="A64" s="69" t="s">
        <v>21</v>
      </c>
      <c r="B64" s="33" t="s">
        <v>94</v>
      </c>
      <c r="C64" s="32">
        <f>'BILANS 2022'!D64</f>
        <v>0</v>
      </c>
      <c r="D64" s="87">
        <f>D65+D66</f>
        <v>0</v>
      </c>
      <c r="E64" s="230">
        <f t="shared" si="0"/>
        <v>0</v>
      </c>
      <c r="F64" s="182" t="e">
        <f t="shared" si="1"/>
        <v>#DIV/0!</v>
      </c>
      <c r="G64" s="226"/>
      <c r="H64" s="70">
        <v>2</v>
      </c>
      <c r="I64" s="30" t="s">
        <v>83</v>
      </c>
      <c r="J64" s="13">
        <f>'BILANS 2022'!K64</f>
        <v>12363592.529999999</v>
      </c>
      <c r="K64" s="173">
        <f>K65+K66</f>
        <v>12448980</v>
      </c>
      <c r="L64" s="165">
        <f t="shared" si="2"/>
        <v>85387.470000000671</v>
      </c>
      <c r="M64" s="166">
        <f t="shared" si="3"/>
        <v>6.9063639708935535E-3</v>
      </c>
    </row>
    <row r="65" spans="1:13">
      <c r="A65" s="69"/>
      <c r="B65" s="190" t="s">
        <v>76</v>
      </c>
      <c r="C65" s="32">
        <f>'BILANS 2022'!D65</f>
        <v>0</v>
      </c>
      <c r="D65" s="494"/>
      <c r="E65" s="230">
        <f t="shared" si="0"/>
        <v>0</v>
      </c>
      <c r="F65" s="182" t="e">
        <f t="shared" si="1"/>
        <v>#DIV/0!</v>
      </c>
      <c r="G65" s="226"/>
      <c r="H65" s="70"/>
      <c r="I65" s="30" t="s">
        <v>55</v>
      </c>
      <c r="J65" s="13">
        <f>'BILANS 2022'!K65</f>
        <v>9800407.3599999994</v>
      </c>
      <c r="K65" s="484">
        <v>9803645</v>
      </c>
      <c r="L65" s="165">
        <f t="shared" si="2"/>
        <v>3237.640000000596</v>
      </c>
      <c r="M65" s="166">
        <f t="shared" si="3"/>
        <v>3.3035769647850598E-4</v>
      </c>
    </row>
    <row r="66" spans="1:13">
      <c r="A66" s="69"/>
      <c r="B66" s="190" t="s">
        <v>77</v>
      </c>
      <c r="C66" s="32">
        <f>'BILANS 2022'!D66</f>
        <v>0</v>
      </c>
      <c r="D66" s="494"/>
      <c r="E66" s="230">
        <f t="shared" si="0"/>
        <v>0</v>
      </c>
      <c r="F66" s="182" t="e">
        <f t="shared" si="1"/>
        <v>#DIV/0!</v>
      </c>
      <c r="G66" s="226"/>
      <c r="H66" s="70"/>
      <c r="I66" s="30" t="s">
        <v>56</v>
      </c>
      <c r="J66" s="13">
        <f>'BILANS 2022'!K66</f>
        <v>2563185.17</v>
      </c>
      <c r="K66" s="484">
        <v>2645335</v>
      </c>
      <c r="L66" s="165">
        <f t="shared" si="2"/>
        <v>82149.830000000075</v>
      </c>
      <c r="M66" s="166">
        <f t="shared" si="3"/>
        <v>3.2049900632032793E-2</v>
      </c>
    </row>
    <row r="67" spans="1:13">
      <c r="A67" s="69" t="s">
        <v>24</v>
      </c>
      <c r="B67" s="33" t="s">
        <v>78</v>
      </c>
      <c r="C67" s="32">
        <f>'BILANS 2022'!D67</f>
        <v>0</v>
      </c>
      <c r="D67" s="494"/>
      <c r="E67" s="230">
        <f t="shared" si="0"/>
        <v>0</v>
      </c>
      <c r="F67" s="182" t="e">
        <f t="shared" si="1"/>
        <v>#DIV/0!</v>
      </c>
      <c r="G67" s="226"/>
      <c r="H67" s="70"/>
      <c r="I67" s="30"/>
      <c r="J67" s="13"/>
      <c r="K67" s="484"/>
      <c r="L67" s="165"/>
      <c r="M67" s="166"/>
    </row>
    <row r="68" spans="1:13">
      <c r="A68" s="21">
        <v>3</v>
      </c>
      <c r="B68" s="186" t="s">
        <v>105</v>
      </c>
      <c r="C68" s="22">
        <f>'BILANS 2022'!D68</f>
        <v>2378142.91</v>
      </c>
      <c r="D68" s="85">
        <f>D69+D72+D73+D74</f>
        <v>2900000</v>
      </c>
      <c r="E68" s="230">
        <f t="shared" si="0"/>
        <v>521857.08999999985</v>
      </c>
      <c r="F68" s="182">
        <f t="shared" si="1"/>
        <v>0.21943891084325115</v>
      </c>
      <c r="G68" s="226"/>
      <c r="H68" s="70"/>
      <c r="I68" s="30"/>
      <c r="J68" s="13"/>
      <c r="K68" s="484"/>
      <c r="L68" s="165"/>
      <c r="M68" s="166"/>
    </row>
    <row r="69" spans="1:13">
      <c r="A69" s="12" t="s">
        <v>21</v>
      </c>
      <c r="B69" s="30" t="s">
        <v>94</v>
      </c>
      <c r="C69" s="13">
        <f>'BILANS 2022'!D69</f>
        <v>1920647.79</v>
      </c>
      <c r="D69" s="83">
        <f>D70+D71</f>
        <v>2400000</v>
      </c>
      <c r="E69" s="230">
        <f t="shared" si="0"/>
        <v>479352.20999999996</v>
      </c>
      <c r="F69" s="182">
        <f t="shared" si="1"/>
        <v>0.24957840396130096</v>
      </c>
      <c r="G69" s="226"/>
      <c r="H69" s="70"/>
      <c r="I69" s="30"/>
      <c r="J69" s="13"/>
      <c r="K69" s="484"/>
      <c r="L69" s="165"/>
      <c r="M69" s="166"/>
    </row>
    <row r="70" spans="1:13">
      <c r="A70" s="12"/>
      <c r="B70" s="188" t="s">
        <v>76</v>
      </c>
      <c r="C70" s="13">
        <f>'BILANS 2022'!D70</f>
        <v>1920647.79</v>
      </c>
      <c r="D70" s="484">
        <v>2400000</v>
      </c>
      <c r="E70" s="230">
        <f t="shared" si="0"/>
        <v>479352.20999999996</v>
      </c>
      <c r="F70" s="182">
        <f t="shared" si="1"/>
        <v>0.24957840396130096</v>
      </c>
      <c r="G70" s="226"/>
      <c r="H70" s="70"/>
      <c r="I70" s="30"/>
      <c r="J70" s="13"/>
      <c r="K70" s="484"/>
      <c r="L70" s="165"/>
      <c r="M70" s="166"/>
    </row>
    <row r="71" spans="1:13">
      <c r="A71" s="12"/>
      <c r="B71" s="188" t="s">
        <v>77</v>
      </c>
      <c r="C71" s="13">
        <f>'BILANS 2022'!D71</f>
        <v>0</v>
      </c>
      <c r="D71" s="484"/>
      <c r="E71" s="230">
        <f t="shared" si="0"/>
        <v>0</v>
      </c>
      <c r="F71" s="182" t="e">
        <f t="shared" si="1"/>
        <v>#DIV/0!</v>
      </c>
      <c r="G71" s="226"/>
      <c r="H71" s="70"/>
      <c r="I71" s="30"/>
      <c r="J71" s="13"/>
      <c r="K71" s="484"/>
      <c r="L71" s="165"/>
      <c r="M71" s="166"/>
    </row>
    <row r="72" spans="1:13" ht="30">
      <c r="A72" s="12" t="s">
        <v>24</v>
      </c>
      <c r="B72" s="30" t="s">
        <v>106</v>
      </c>
      <c r="C72" s="13">
        <f>'BILANS 2022'!D72</f>
        <v>0</v>
      </c>
      <c r="D72" s="484"/>
      <c r="E72" s="230">
        <f t="shared" si="0"/>
        <v>0</v>
      </c>
      <c r="F72" s="182" t="e">
        <f t="shared" si="1"/>
        <v>#DIV/0!</v>
      </c>
      <c r="G72" s="226"/>
      <c r="H72" s="70"/>
      <c r="I72" s="30"/>
      <c r="J72" s="13"/>
      <c r="K72" s="484"/>
      <c r="L72" s="165"/>
      <c r="M72" s="166"/>
    </row>
    <row r="73" spans="1:13">
      <c r="A73" s="12" t="s">
        <v>27</v>
      </c>
      <c r="B73" s="30" t="s">
        <v>78</v>
      </c>
      <c r="C73" s="13">
        <f>'BILANS 2022'!D73</f>
        <v>457495.12</v>
      </c>
      <c r="D73" s="484">
        <v>500000</v>
      </c>
      <c r="E73" s="230">
        <f t="shared" ref="E73:E95" si="4">D73-C73</f>
        <v>42504.880000000005</v>
      </c>
      <c r="F73" s="182">
        <f t="shared" ref="F73:F95" si="5">E73/C73</f>
        <v>9.290783254693516E-2</v>
      </c>
      <c r="G73" s="226"/>
      <c r="H73" s="70"/>
      <c r="I73" s="30"/>
      <c r="J73" s="13"/>
      <c r="K73" s="83"/>
      <c r="L73" s="165"/>
      <c r="M73" s="166"/>
    </row>
    <row r="74" spans="1:13" ht="15.75" thickBot="1">
      <c r="A74" s="223" t="s">
        <v>31</v>
      </c>
      <c r="B74" s="196" t="s">
        <v>107</v>
      </c>
      <c r="C74" s="15">
        <f>'BILANS 2022'!D74</f>
        <v>0</v>
      </c>
      <c r="D74" s="486"/>
      <c r="E74" s="231">
        <f t="shared" si="4"/>
        <v>0</v>
      </c>
      <c r="F74" s="183" t="e">
        <f t="shared" si="5"/>
        <v>#DIV/0!</v>
      </c>
      <c r="G74" s="226"/>
      <c r="H74" s="70"/>
      <c r="I74" s="30"/>
      <c r="J74" s="13"/>
      <c r="K74" s="83"/>
      <c r="L74" s="165"/>
      <c r="M74" s="166"/>
    </row>
    <row r="75" spans="1:13">
      <c r="A75" s="8" t="s">
        <v>16</v>
      </c>
      <c r="B75" s="28" t="s">
        <v>108</v>
      </c>
      <c r="C75" s="9">
        <f>'BILANS 2022'!D75</f>
        <v>48957908.689999998</v>
      </c>
      <c r="D75" s="82">
        <f>D76+D91</f>
        <v>49000000</v>
      </c>
      <c r="E75" s="9">
        <f t="shared" si="4"/>
        <v>42091.310000002384</v>
      </c>
      <c r="F75" s="157">
        <f t="shared" si="5"/>
        <v>8.5974485279841691E-4</v>
      </c>
      <c r="G75" s="226"/>
      <c r="H75" s="70"/>
      <c r="I75" s="30"/>
      <c r="J75" s="13"/>
      <c r="K75" s="83"/>
      <c r="L75" s="165"/>
      <c r="M75" s="166"/>
    </row>
    <row r="76" spans="1:13">
      <c r="A76" s="21">
        <v>1</v>
      </c>
      <c r="B76" s="186" t="s">
        <v>109</v>
      </c>
      <c r="C76" s="22">
        <f>'BILANS 2022'!D76</f>
        <v>48957908.689999998</v>
      </c>
      <c r="D76" s="85">
        <f>D77+D82+D87</f>
        <v>49000000</v>
      </c>
      <c r="E76" s="229">
        <f t="shared" si="4"/>
        <v>42091.310000002384</v>
      </c>
      <c r="F76" s="181">
        <f t="shared" si="5"/>
        <v>8.5974485279841691E-4</v>
      </c>
      <c r="G76" s="226"/>
      <c r="H76" s="70"/>
      <c r="I76" s="30"/>
      <c r="J76" s="13"/>
      <c r="K76" s="83"/>
      <c r="L76" s="165"/>
      <c r="M76" s="166"/>
    </row>
    <row r="77" spans="1:13">
      <c r="A77" s="12" t="s">
        <v>21</v>
      </c>
      <c r="B77" s="188" t="s">
        <v>59</v>
      </c>
      <c r="C77" s="13">
        <f>'BILANS 2022'!D77</f>
        <v>0</v>
      </c>
      <c r="D77" s="83">
        <f>SUM(D78:D81)</f>
        <v>0</v>
      </c>
      <c r="E77" s="230">
        <f t="shared" si="4"/>
        <v>0</v>
      </c>
      <c r="F77" s="182" t="e">
        <f t="shared" si="5"/>
        <v>#DIV/0!</v>
      </c>
      <c r="G77" s="226"/>
      <c r="H77" s="70"/>
      <c r="I77" s="30"/>
      <c r="J77" s="13"/>
      <c r="K77" s="83"/>
      <c r="L77" s="165"/>
      <c r="M77" s="166"/>
    </row>
    <row r="78" spans="1:13">
      <c r="A78" s="12"/>
      <c r="B78" s="188" t="s">
        <v>61</v>
      </c>
      <c r="C78" s="13">
        <f>'BILANS 2022'!D78</f>
        <v>0</v>
      </c>
      <c r="D78" s="484"/>
      <c r="E78" s="230">
        <f t="shared" si="4"/>
        <v>0</v>
      </c>
      <c r="F78" s="182" t="e">
        <f t="shared" si="5"/>
        <v>#DIV/0!</v>
      </c>
      <c r="G78" s="226"/>
      <c r="H78" s="70"/>
      <c r="I78" s="30"/>
      <c r="J78" s="13"/>
      <c r="K78" s="83"/>
      <c r="L78" s="165"/>
      <c r="M78" s="166"/>
    </row>
    <row r="79" spans="1:13">
      <c r="A79" s="12"/>
      <c r="B79" s="188" t="s">
        <v>63</v>
      </c>
      <c r="C79" s="13">
        <f>'BILANS 2022'!D79</f>
        <v>0</v>
      </c>
      <c r="D79" s="484"/>
      <c r="E79" s="230">
        <f t="shared" si="4"/>
        <v>0</v>
      </c>
      <c r="F79" s="182" t="e">
        <f t="shared" si="5"/>
        <v>#DIV/0!</v>
      </c>
      <c r="G79" s="226"/>
      <c r="H79" s="70"/>
      <c r="I79" s="30"/>
      <c r="J79" s="13"/>
      <c r="K79" s="83"/>
      <c r="L79" s="165"/>
      <c r="M79" s="166"/>
    </row>
    <row r="80" spans="1:13">
      <c r="A80" s="12"/>
      <c r="B80" s="188" t="s">
        <v>64</v>
      </c>
      <c r="C80" s="13">
        <f>'BILANS 2022'!D80</f>
        <v>0</v>
      </c>
      <c r="D80" s="484"/>
      <c r="E80" s="230">
        <f t="shared" si="4"/>
        <v>0</v>
      </c>
      <c r="F80" s="182" t="e">
        <f t="shared" si="5"/>
        <v>#DIV/0!</v>
      </c>
      <c r="G80" s="226"/>
      <c r="H80" s="70"/>
      <c r="I80" s="30"/>
      <c r="J80" s="13"/>
      <c r="K80" s="83"/>
      <c r="L80" s="165"/>
      <c r="M80" s="166"/>
    </row>
    <row r="81" spans="1:13">
      <c r="A81" s="12"/>
      <c r="B81" s="30" t="s">
        <v>110</v>
      </c>
      <c r="C81" s="13">
        <f>'BILANS 2022'!D81</f>
        <v>0</v>
      </c>
      <c r="D81" s="484"/>
      <c r="E81" s="230">
        <f t="shared" si="4"/>
        <v>0</v>
      </c>
      <c r="F81" s="182" t="e">
        <f t="shared" si="5"/>
        <v>#DIV/0!</v>
      </c>
      <c r="G81" s="226"/>
      <c r="H81" s="70"/>
      <c r="I81" s="30"/>
      <c r="J81" s="13"/>
      <c r="K81" s="83"/>
      <c r="L81" s="165"/>
      <c r="M81" s="166"/>
    </row>
    <row r="82" spans="1:13">
      <c r="A82" s="12" t="s">
        <v>24</v>
      </c>
      <c r="B82" s="188" t="s">
        <v>74</v>
      </c>
      <c r="C82" s="13">
        <f>'BILANS 2022'!D82</f>
        <v>0</v>
      </c>
      <c r="D82" s="83">
        <f>SUM(D83:D86)</f>
        <v>0</v>
      </c>
      <c r="E82" s="230">
        <f t="shared" si="4"/>
        <v>0</v>
      </c>
      <c r="F82" s="182" t="e">
        <f t="shared" si="5"/>
        <v>#DIV/0!</v>
      </c>
      <c r="G82" s="226"/>
      <c r="H82" s="70"/>
      <c r="I82" s="30"/>
      <c r="J82" s="13"/>
      <c r="K82" s="83"/>
      <c r="L82" s="165"/>
      <c r="M82" s="166"/>
    </row>
    <row r="83" spans="1:13">
      <c r="A83" s="12"/>
      <c r="B83" s="188" t="s">
        <v>61</v>
      </c>
      <c r="C83" s="13">
        <f>'BILANS 2022'!D83</f>
        <v>0</v>
      </c>
      <c r="D83" s="484"/>
      <c r="E83" s="230">
        <f t="shared" si="4"/>
        <v>0</v>
      </c>
      <c r="F83" s="182" t="e">
        <f t="shared" si="5"/>
        <v>#DIV/0!</v>
      </c>
      <c r="G83" s="226"/>
      <c r="H83" s="70"/>
      <c r="I83" s="30"/>
      <c r="J83" s="13"/>
      <c r="K83" s="83"/>
      <c r="L83" s="165"/>
      <c r="M83" s="166"/>
    </row>
    <row r="84" spans="1:13">
      <c r="A84" s="12"/>
      <c r="B84" s="188" t="s">
        <v>63</v>
      </c>
      <c r="C84" s="13">
        <f>'BILANS 2022'!D84</f>
        <v>0</v>
      </c>
      <c r="D84" s="484"/>
      <c r="E84" s="230">
        <f t="shared" si="4"/>
        <v>0</v>
      </c>
      <c r="F84" s="182" t="e">
        <f t="shared" si="5"/>
        <v>#DIV/0!</v>
      </c>
      <c r="G84" s="226"/>
      <c r="H84" s="70"/>
      <c r="I84" s="30"/>
      <c r="J84" s="13"/>
      <c r="K84" s="83"/>
      <c r="L84" s="165"/>
      <c r="M84" s="166"/>
    </row>
    <row r="85" spans="1:13">
      <c r="A85" s="12"/>
      <c r="B85" s="188" t="s">
        <v>64</v>
      </c>
      <c r="C85" s="13">
        <f>'BILANS 2022'!D85</f>
        <v>0</v>
      </c>
      <c r="D85" s="484"/>
      <c r="E85" s="230">
        <f t="shared" si="4"/>
        <v>0</v>
      </c>
      <c r="F85" s="182" t="e">
        <f t="shared" si="5"/>
        <v>#DIV/0!</v>
      </c>
      <c r="G85" s="226"/>
      <c r="H85" s="70"/>
      <c r="I85" s="30"/>
      <c r="J85" s="13"/>
      <c r="K85" s="83"/>
      <c r="L85" s="165"/>
      <c r="M85" s="166"/>
    </row>
    <row r="86" spans="1:13">
      <c r="A86" s="12"/>
      <c r="B86" s="30" t="s">
        <v>110</v>
      </c>
      <c r="C86" s="13">
        <f>'BILANS 2022'!D86</f>
        <v>0</v>
      </c>
      <c r="D86" s="484"/>
      <c r="E86" s="230">
        <f t="shared" si="4"/>
        <v>0</v>
      </c>
      <c r="F86" s="182" t="e">
        <f t="shared" si="5"/>
        <v>#DIV/0!</v>
      </c>
      <c r="G86" s="226"/>
      <c r="H86" s="70"/>
      <c r="I86" s="30"/>
      <c r="J86" s="13"/>
      <c r="K86" s="83"/>
      <c r="L86" s="165"/>
      <c r="M86" s="166"/>
    </row>
    <row r="87" spans="1:13">
      <c r="A87" s="12" t="s">
        <v>27</v>
      </c>
      <c r="B87" s="30" t="s">
        <v>111</v>
      </c>
      <c r="C87" s="13">
        <f>'BILANS 2022'!D87</f>
        <v>48957908.689999998</v>
      </c>
      <c r="D87" s="83">
        <f>SUM(D88:D90)</f>
        <v>49000000</v>
      </c>
      <c r="E87" s="230">
        <f t="shared" si="4"/>
        <v>42091.310000002384</v>
      </c>
      <c r="F87" s="182">
        <f t="shared" si="5"/>
        <v>8.5974485279841691E-4</v>
      </c>
      <c r="G87" s="226"/>
      <c r="H87" s="70"/>
      <c r="I87" s="30"/>
      <c r="J87" s="13"/>
      <c r="K87" s="83"/>
      <c r="L87" s="165"/>
      <c r="M87" s="166"/>
    </row>
    <row r="88" spans="1:13">
      <c r="A88" s="12"/>
      <c r="B88" s="30" t="s">
        <v>112</v>
      </c>
      <c r="C88" s="13">
        <f>'BILANS 2022'!D88</f>
        <v>24823282.969999999</v>
      </c>
      <c r="D88" s="484">
        <v>36000000</v>
      </c>
      <c r="E88" s="230">
        <f t="shared" si="4"/>
        <v>11176717.030000001</v>
      </c>
      <c r="F88" s="182">
        <f t="shared" si="5"/>
        <v>0.4502513645559108</v>
      </c>
      <c r="G88" s="226"/>
      <c r="H88" s="70"/>
      <c r="I88" s="30"/>
      <c r="J88" s="13"/>
      <c r="K88" s="83"/>
      <c r="L88" s="165"/>
      <c r="M88" s="166"/>
    </row>
    <row r="89" spans="1:13">
      <c r="A89" s="12"/>
      <c r="B89" s="188" t="s">
        <v>113</v>
      </c>
      <c r="C89" s="13">
        <f>'BILANS 2022'!D89</f>
        <v>24134625.719999999</v>
      </c>
      <c r="D89" s="484">
        <v>13000000</v>
      </c>
      <c r="E89" s="230">
        <f t="shared" si="4"/>
        <v>-11134625.719999999</v>
      </c>
      <c r="F89" s="182">
        <f t="shared" si="5"/>
        <v>-0.46135481234220688</v>
      </c>
      <c r="G89" s="226"/>
      <c r="H89" s="70"/>
      <c r="I89" s="30"/>
      <c r="J89" s="13"/>
      <c r="K89" s="83"/>
      <c r="L89" s="165"/>
      <c r="M89" s="166"/>
    </row>
    <row r="90" spans="1:13">
      <c r="A90" s="12"/>
      <c r="B90" s="188" t="s">
        <v>114</v>
      </c>
      <c r="C90" s="13">
        <f>'BILANS 2022'!D90</f>
        <v>0</v>
      </c>
      <c r="D90" s="484"/>
      <c r="E90" s="230">
        <f t="shared" si="4"/>
        <v>0</v>
      </c>
      <c r="F90" s="182" t="e">
        <f t="shared" si="5"/>
        <v>#DIV/0!</v>
      </c>
      <c r="G90" s="226"/>
      <c r="H90" s="70"/>
      <c r="I90" s="30"/>
      <c r="J90" s="13"/>
      <c r="K90" s="83"/>
      <c r="L90" s="165"/>
      <c r="M90" s="166"/>
    </row>
    <row r="91" spans="1:13" ht="15.75" thickBot="1">
      <c r="A91" s="71">
        <v>2</v>
      </c>
      <c r="B91" s="187" t="s">
        <v>115</v>
      </c>
      <c r="C91" s="25">
        <f>'BILANS 2022'!D91</f>
        <v>0</v>
      </c>
      <c r="D91" s="490"/>
      <c r="E91" s="231">
        <f t="shared" si="4"/>
        <v>0</v>
      </c>
      <c r="F91" s="183" t="e">
        <f t="shared" si="5"/>
        <v>#DIV/0!</v>
      </c>
      <c r="G91" s="227"/>
      <c r="H91" s="30"/>
      <c r="I91" s="30"/>
      <c r="J91" s="13"/>
      <c r="K91" s="83"/>
      <c r="L91" s="165"/>
      <c r="M91" s="166"/>
    </row>
    <row r="92" spans="1:13" ht="15.75" thickBot="1">
      <c r="A92" s="8" t="s">
        <v>20</v>
      </c>
      <c r="B92" s="28" t="s">
        <v>116</v>
      </c>
      <c r="C92" s="72">
        <f>'BILANS 2022'!D92</f>
        <v>131622.92000000001</v>
      </c>
      <c r="D92" s="500">
        <v>130000</v>
      </c>
      <c r="E92" s="123">
        <f t="shared" si="4"/>
        <v>-1622.9200000000128</v>
      </c>
      <c r="F92" s="124">
        <f t="shared" si="5"/>
        <v>-1.2330071388782535E-2</v>
      </c>
      <c r="G92" s="227"/>
      <c r="H92" s="30"/>
      <c r="I92" s="30"/>
      <c r="J92" s="13"/>
      <c r="K92" s="83"/>
      <c r="L92" s="165"/>
      <c r="M92" s="166"/>
    </row>
    <row r="93" spans="1:13" ht="15.75" thickBot="1">
      <c r="A93" s="8" t="s">
        <v>247</v>
      </c>
      <c r="B93" s="266" t="s">
        <v>248</v>
      </c>
      <c r="C93" s="72">
        <f>'BILANS 2022'!D93</f>
        <v>0</v>
      </c>
      <c r="D93" s="500"/>
      <c r="E93" s="123">
        <f t="shared" si="4"/>
        <v>0</v>
      </c>
      <c r="F93" s="124" t="e">
        <f t="shared" si="5"/>
        <v>#DIV/0!</v>
      </c>
      <c r="G93" s="227"/>
      <c r="H93" s="30"/>
      <c r="I93" s="30"/>
      <c r="J93" s="13"/>
      <c r="K93" s="83"/>
      <c r="L93" s="165"/>
      <c r="M93" s="166"/>
    </row>
    <row r="94" spans="1:13" ht="15.75" thickBot="1">
      <c r="A94" s="8" t="s">
        <v>249</v>
      </c>
      <c r="B94" s="266" t="s">
        <v>250</v>
      </c>
      <c r="C94" s="72">
        <f>'BILANS 2022'!D94</f>
        <v>0</v>
      </c>
      <c r="D94" s="500"/>
      <c r="E94" s="123">
        <f t="shared" si="4"/>
        <v>0</v>
      </c>
      <c r="F94" s="124" t="e">
        <f t="shared" si="5"/>
        <v>#DIV/0!</v>
      </c>
      <c r="G94" s="227"/>
      <c r="H94" s="30"/>
      <c r="I94" s="30"/>
      <c r="J94" s="13"/>
      <c r="K94" s="83"/>
      <c r="L94" s="165"/>
      <c r="M94" s="166"/>
    </row>
    <row r="95" spans="1:13" ht="30.75" thickBot="1">
      <c r="A95" s="152"/>
      <c r="B95" s="78" t="s">
        <v>304</v>
      </c>
      <c r="C95" s="79">
        <f>'BILANS 2022'!D95</f>
        <v>80810092.530000001</v>
      </c>
      <c r="D95" s="92">
        <f>D8+D50+D93+D94</f>
        <v>88204771.659999996</v>
      </c>
      <c r="E95" s="233">
        <f t="shared" si="4"/>
        <v>7394679.1299999952</v>
      </c>
      <c r="F95" s="197">
        <f t="shared" si="5"/>
        <v>9.1506876164691789E-2</v>
      </c>
      <c r="G95" s="227"/>
      <c r="H95" s="152"/>
      <c r="I95" s="78" t="s">
        <v>204</v>
      </c>
      <c r="J95" s="79">
        <f>'BILANS 2022'!K95</f>
        <v>80810092.530000001</v>
      </c>
      <c r="K95" s="92">
        <f>K8+K20</f>
        <v>88204771.659999996</v>
      </c>
      <c r="L95" s="121">
        <f t="shared" ref="L95" si="6">K95-J95</f>
        <v>7394679.1299999952</v>
      </c>
      <c r="M95" s="122">
        <f t="shared" ref="M95" si="7">L95/J95</f>
        <v>9.1506876164691789E-2</v>
      </c>
    </row>
    <row r="96" spans="1:13">
      <c r="A96" s="224"/>
      <c r="B96" s="1"/>
      <c r="C96" s="1"/>
      <c r="D96" s="1"/>
      <c r="E96" s="1"/>
      <c r="F96" s="1"/>
      <c r="G96" s="1"/>
      <c r="H96" s="152"/>
      <c r="I96" s="1"/>
      <c r="J96" s="41"/>
      <c r="K96" s="41"/>
    </row>
    <row r="97" spans="1:13" ht="54.75" customHeight="1">
      <c r="A97" s="152"/>
      <c r="B97" s="2"/>
      <c r="C97" s="2"/>
      <c r="D97" s="2"/>
      <c r="E97" s="2"/>
      <c r="F97" s="2"/>
      <c r="G97" s="2"/>
      <c r="H97" s="152"/>
      <c r="I97" s="2"/>
      <c r="J97" s="2"/>
      <c r="K97" s="2"/>
    </row>
    <row r="98" spans="1:13" ht="15" customHeight="1">
      <c r="A98" s="74"/>
      <c r="B98" s="74" t="s">
        <v>118</v>
      </c>
      <c r="C98" s="74"/>
      <c r="D98" s="686" t="s">
        <v>118</v>
      </c>
      <c r="E98" s="686"/>
      <c r="F98" s="686"/>
      <c r="G98" s="42"/>
      <c r="I98" s="74" t="s">
        <v>118</v>
      </c>
      <c r="J98" s="74"/>
      <c r="K98" s="686" t="s">
        <v>118</v>
      </c>
      <c r="L98" s="686"/>
      <c r="M98" s="686"/>
    </row>
    <row r="99" spans="1:13" ht="15" customHeight="1">
      <c r="A99" s="73"/>
      <c r="B99" s="73" t="s">
        <v>207</v>
      </c>
      <c r="C99" s="73"/>
      <c r="D99" s="685" t="s">
        <v>119</v>
      </c>
      <c r="E99" s="685"/>
      <c r="F99" s="685"/>
      <c r="G99" s="65"/>
      <c r="I99" s="73" t="s">
        <v>207</v>
      </c>
      <c r="J99" s="73"/>
      <c r="K99" s="685" t="s">
        <v>119</v>
      </c>
      <c r="L99" s="685"/>
      <c r="M99" s="685"/>
    </row>
    <row r="100" spans="1:13">
      <c r="B100" s="2"/>
      <c r="C100" s="2"/>
      <c r="D100" s="2"/>
      <c r="E100" s="2"/>
      <c r="F100" s="2"/>
      <c r="G100" s="2"/>
      <c r="H100" s="152"/>
      <c r="I100" s="2"/>
      <c r="J100" s="2"/>
      <c r="K100" s="2"/>
    </row>
    <row r="101" spans="1:13">
      <c r="B101" s="2"/>
      <c r="C101" s="2"/>
      <c r="D101" s="2"/>
      <c r="E101" s="2"/>
      <c r="F101" s="2"/>
      <c r="G101" s="2"/>
      <c r="H101" s="152"/>
      <c r="I101" s="2"/>
      <c r="J101" s="2"/>
      <c r="K101" s="2"/>
    </row>
    <row r="102" spans="1:13">
      <c r="B102" s="74"/>
      <c r="C102" s="74"/>
      <c r="D102" s="42"/>
      <c r="E102" s="42"/>
      <c r="F102" s="42"/>
      <c r="G102" s="42"/>
      <c r="I102" s="686"/>
      <c r="J102" s="686"/>
      <c r="K102" s="686"/>
    </row>
    <row r="103" spans="1:13">
      <c r="B103" s="73"/>
      <c r="C103" s="73"/>
      <c r="D103" s="65"/>
      <c r="E103" s="65"/>
      <c r="F103" s="65"/>
      <c r="G103" s="65"/>
      <c r="I103" s="685"/>
      <c r="J103" s="685"/>
      <c r="K103" s="685"/>
    </row>
  </sheetData>
  <sheetProtection algorithmName="SHA-512" hashValue="vC/z8xnz4CvtZy9Nq9ezZVLFy6fZa9sl+RHu6H+A1cpDEiPKgnb7cXa5liNQqUuVwpj2I8+oqX1BkLG7RkhPXA==" saltValue="liirGtuqX6mRXiuDPKnATQ==" spinCount="100000" sheet="1" formatCells="0" formatColumns="0" formatRows="0"/>
  <mergeCells count="18">
    <mergeCell ref="I102:K102"/>
    <mergeCell ref="I103:K103"/>
    <mergeCell ref="J4:K4"/>
    <mergeCell ref="D99:F99"/>
    <mergeCell ref="K99:M99"/>
    <mergeCell ref="L6:L7"/>
    <mergeCell ref="M6:M7"/>
    <mergeCell ref="C4:D4"/>
    <mergeCell ref="D98:F98"/>
    <mergeCell ref="K98:M98"/>
    <mergeCell ref="H6:H7"/>
    <mergeCell ref="I6:I7"/>
    <mergeCell ref="J6:K6"/>
    <mergeCell ref="A6:A7"/>
    <mergeCell ref="B6:B7"/>
    <mergeCell ref="C6:D6"/>
    <mergeCell ref="E6:E7"/>
    <mergeCell ref="F6:F7"/>
  </mergeCells>
  <pageMargins left="0.75" right="0.23622047244094491" top="0.74803149606299213" bottom="0.74803149606299213" header="0.31496062992125984" footer="0.31496062992125984"/>
  <pageSetup paperSize="9" scale="70" fitToHeight="0" orientation="portrait" r:id="rId1"/>
  <rowBreaks count="1" manualBreakCount="1">
    <brk id="49" max="12" man="1"/>
  </rowBreaks>
  <colBreaks count="1" manualBreakCount="1">
    <brk id="7" max="10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63"/>
  <sheetViews>
    <sheetView view="pageBreakPreview" zoomScaleNormal="85" zoomScaleSheetLayoutView="100" workbookViewId="0">
      <pane xSplit="2" ySplit="8" topLeftCell="C9" activePane="bottomRight" state="frozen"/>
      <selection activeCell="F8" sqref="F8"/>
      <selection pane="topRight" activeCell="F8" sqref="F8"/>
      <selection pane="bottomLeft" activeCell="F8" sqref="F8"/>
      <selection pane="bottomRight" activeCell="E1" sqref="E1"/>
    </sheetView>
  </sheetViews>
  <sheetFormatPr defaultRowHeight="15"/>
  <cols>
    <col min="1" max="1" width="7.28515625" bestFit="1" customWidth="1"/>
    <col min="2" max="2" width="54.140625" customWidth="1"/>
    <col min="3" max="3" width="17.42578125" customWidth="1"/>
    <col min="4" max="4" width="16" customWidth="1"/>
    <col min="5" max="5" width="16.7109375" customWidth="1"/>
    <col min="6" max="6" width="12.140625" customWidth="1"/>
  </cols>
  <sheetData>
    <row r="1" spans="1:6" s="518" customFormat="1">
      <c r="A1" s="536"/>
      <c r="B1" s="534"/>
      <c r="C1" s="534"/>
      <c r="D1" s="534"/>
      <c r="E1" s="518" t="s">
        <v>335</v>
      </c>
    </row>
    <row r="2" spans="1:6" s="518" customFormat="1">
      <c r="A2" s="701" t="s">
        <v>0</v>
      </c>
      <c r="B2" s="701"/>
      <c r="C2" s="534"/>
      <c r="D2" s="534"/>
    </row>
    <row r="3" spans="1:6" ht="15.75" thickBot="1">
      <c r="A3" s="702" t="s">
        <v>120</v>
      </c>
      <c r="B3" s="702"/>
      <c r="C3" s="687" t="s">
        <v>205</v>
      </c>
      <c r="D3" s="687"/>
    </row>
    <row r="4" spans="1:6" ht="15" customHeight="1">
      <c r="A4" s="703" t="s">
        <v>308</v>
      </c>
      <c r="B4" s="703"/>
      <c r="C4" s="703"/>
      <c r="D4" s="703"/>
      <c r="E4" s="703"/>
      <c r="F4" s="703"/>
    </row>
    <row r="5" spans="1:6" ht="15.75" thickBot="1">
      <c r="A5" s="43"/>
      <c r="B5" s="42"/>
      <c r="C5" s="42"/>
      <c r="D5" s="44"/>
    </row>
    <row r="6" spans="1:6">
      <c r="A6" s="691" t="s">
        <v>121</v>
      </c>
      <c r="B6" s="698" t="s">
        <v>122</v>
      </c>
      <c r="C6" s="693" t="s">
        <v>123</v>
      </c>
      <c r="D6" s="695"/>
      <c r="E6" s="693" t="s">
        <v>208</v>
      </c>
      <c r="F6" s="695" t="s">
        <v>209</v>
      </c>
    </row>
    <row r="7" spans="1:6" ht="15.75" thickBot="1">
      <c r="A7" s="697"/>
      <c r="B7" s="704"/>
      <c r="C7" s="153" t="str">
        <f ca="1">'RZiS 2022'!D7</f>
        <v>2022</v>
      </c>
      <c r="D7" s="592" t="str">
        <f ca="1">RIGHT(CELL("nazwa_pliku",A1),4)</f>
        <v>2023</v>
      </c>
      <c r="E7" s="694"/>
      <c r="F7" s="696"/>
    </row>
    <row r="8" spans="1:6" ht="29.25" customHeight="1" thickBot="1">
      <c r="A8" s="45" t="s">
        <v>5</v>
      </c>
      <c r="B8" s="243" t="s">
        <v>124</v>
      </c>
      <c r="C8" s="257">
        <f>'RZiS 2022'!D8</f>
        <v>237021627.56999999</v>
      </c>
      <c r="D8" s="46">
        <f>D10+D11+D12+D13</f>
        <v>261654000</v>
      </c>
      <c r="E8" s="114">
        <f>D8-C8</f>
        <v>24632372.430000007</v>
      </c>
      <c r="F8" s="115">
        <f>E8/C8</f>
        <v>0.103924577189587</v>
      </c>
    </row>
    <row r="9" spans="1:6">
      <c r="A9" s="47"/>
      <c r="B9" s="244" t="s">
        <v>125</v>
      </c>
      <c r="C9" s="258">
        <f>'RZiS 2022'!D9</f>
        <v>0</v>
      </c>
      <c r="D9" s="520"/>
      <c r="E9" s="240">
        <f t="shared" ref="E9:E58" si="0">D9-C9</f>
        <v>0</v>
      </c>
      <c r="F9" s="237" t="e">
        <f t="shared" ref="F9:F58" si="1">E9/C9</f>
        <v>#DIV/0!</v>
      </c>
    </row>
    <row r="10" spans="1:6">
      <c r="A10" s="49" t="s">
        <v>8</v>
      </c>
      <c r="B10" s="245" t="s">
        <v>126</v>
      </c>
      <c r="C10" s="259">
        <f>'RZiS 2022'!D10</f>
        <v>234121303.34</v>
      </c>
      <c r="D10" s="522">
        <v>257654000</v>
      </c>
      <c r="E10" s="238">
        <f t="shared" si="0"/>
        <v>23532696.659999996</v>
      </c>
      <c r="F10" s="235">
        <f t="shared" si="1"/>
        <v>0.10051497375198234</v>
      </c>
    </row>
    <row r="11" spans="1:6" ht="46.5" customHeight="1">
      <c r="A11" s="51" t="s">
        <v>11</v>
      </c>
      <c r="B11" s="246" t="s">
        <v>127</v>
      </c>
      <c r="C11" s="260">
        <f>'RZiS 2022'!D11</f>
        <v>-1081815.74</v>
      </c>
      <c r="D11" s="524"/>
      <c r="E11" s="238">
        <f t="shared" si="0"/>
        <v>1081815.74</v>
      </c>
      <c r="F11" s="235">
        <f t="shared" si="1"/>
        <v>-1</v>
      </c>
    </row>
    <row r="12" spans="1:6" ht="30">
      <c r="A12" s="51" t="s">
        <v>16</v>
      </c>
      <c r="B12" s="246" t="s">
        <v>128</v>
      </c>
      <c r="C12" s="260">
        <f>'RZiS 2022'!D12</f>
        <v>0</v>
      </c>
      <c r="D12" s="524"/>
      <c r="E12" s="238">
        <f t="shared" si="0"/>
        <v>0</v>
      </c>
      <c r="F12" s="235" t="e">
        <f t="shared" si="1"/>
        <v>#DIV/0!</v>
      </c>
    </row>
    <row r="13" spans="1:6" ht="15.75" thickBot="1">
      <c r="A13" s="53" t="s">
        <v>20</v>
      </c>
      <c r="B13" s="247" t="s">
        <v>129</v>
      </c>
      <c r="C13" s="261">
        <f>'RZiS 2022'!D13</f>
        <v>3982139.97</v>
      </c>
      <c r="D13" s="526">
        <v>4000000</v>
      </c>
      <c r="E13" s="239">
        <f t="shared" si="0"/>
        <v>17860.029999999795</v>
      </c>
      <c r="F13" s="236">
        <f t="shared" si="1"/>
        <v>4.4850332069065356E-3</v>
      </c>
    </row>
    <row r="14" spans="1:6" ht="31.5" customHeight="1" thickBot="1">
      <c r="A14" s="55" t="s">
        <v>41</v>
      </c>
      <c r="B14" s="248" t="s">
        <v>130</v>
      </c>
      <c r="C14" s="262">
        <f>'RZiS 2022'!D14</f>
        <v>242558505.78999999</v>
      </c>
      <c r="D14" s="56">
        <f>D15+D16+D17+D18+D20+D21+D23+D24</f>
        <v>260250000</v>
      </c>
      <c r="E14" s="114">
        <f t="shared" si="0"/>
        <v>17691494.210000008</v>
      </c>
      <c r="F14" s="115">
        <f t="shared" si="1"/>
        <v>7.2937018441714768E-2</v>
      </c>
    </row>
    <row r="15" spans="1:6">
      <c r="A15" s="57" t="s">
        <v>8</v>
      </c>
      <c r="B15" s="249" t="s">
        <v>131</v>
      </c>
      <c r="C15" s="263">
        <f>'RZiS 2022'!D15</f>
        <v>4883989.4000000004</v>
      </c>
      <c r="D15" s="528">
        <v>5000000</v>
      </c>
      <c r="E15" s="240">
        <f t="shared" si="0"/>
        <v>116010.59999999963</v>
      </c>
      <c r="F15" s="237">
        <f t="shared" si="1"/>
        <v>2.3753245656102286E-2</v>
      </c>
    </row>
    <row r="16" spans="1:6">
      <c r="A16" s="51" t="s">
        <v>11</v>
      </c>
      <c r="B16" s="250" t="s">
        <v>132</v>
      </c>
      <c r="C16" s="260">
        <f>'RZiS 2022'!D16</f>
        <v>9728206.0299999993</v>
      </c>
      <c r="D16" s="524">
        <v>11000000</v>
      </c>
      <c r="E16" s="238">
        <f t="shared" si="0"/>
        <v>1271793.9700000007</v>
      </c>
      <c r="F16" s="235">
        <f t="shared" si="1"/>
        <v>0.13073263108100525</v>
      </c>
    </row>
    <row r="17" spans="1:8">
      <c r="A17" s="51" t="s">
        <v>16</v>
      </c>
      <c r="B17" s="250" t="s">
        <v>133</v>
      </c>
      <c r="C17" s="260">
        <f>'RZiS 2022'!D17</f>
        <v>105817079.56999999</v>
      </c>
      <c r="D17" s="524">
        <v>112000000</v>
      </c>
      <c r="E17" s="238">
        <f t="shared" si="0"/>
        <v>6182920.4300000072</v>
      </c>
      <c r="F17" s="235">
        <f t="shared" si="1"/>
        <v>5.8430269056044856E-2</v>
      </c>
    </row>
    <row r="18" spans="1:8">
      <c r="A18" s="51" t="s">
        <v>20</v>
      </c>
      <c r="B18" s="250" t="s">
        <v>134</v>
      </c>
      <c r="C18" s="260">
        <f>'RZiS 2022'!D18</f>
        <v>809487.91</v>
      </c>
      <c r="D18" s="524">
        <v>950000</v>
      </c>
      <c r="E18" s="238">
        <f t="shared" si="0"/>
        <v>140512.08999999997</v>
      </c>
      <c r="F18" s="235">
        <f t="shared" si="1"/>
        <v>0.17358145596022548</v>
      </c>
    </row>
    <row r="19" spans="1:8">
      <c r="A19" s="51"/>
      <c r="B19" s="250" t="s">
        <v>135</v>
      </c>
      <c r="C19" s="260">
        <f>'RZiS 2022'!D19</f>
        <v>0</v>
      </c>
      <c r="D19" s="524">
        <v>0</v>
      </c>
      <c r="E19" s="238">
        <f t="shared" si="0"/>
        <v>0</v>
      </c>
      <c r="F19" s="235" t="e">
        <f t="shared" si="1"/>
        <v>#DIV/0!</v>
      </c>
    </row>
    <row r="20" spans="1:8" ht="15.75" thickBot="1">
      <c r="A20" s="51" t="s">
        <v>80</v>
      </c>
      <c r="B20" s="250" t="s">
        <v>136</v>
      </c>
      <c r="C20" s="260">
        <f>'RZiS 2022'!D20</f>
        <v>93899636.150000006</v>
      </c>
      <c r="D20" s="524">
        <v>102000000</v>
      </c>
      <c r="E20" s="238">
        <f t="shared" si="0"/>
        <v>8100363.849999994</v>
      </c>
      <c r="F20" s="235">
        <f t="shared" si="1"/>
        <v>8.626618996755285E-2</v>
      </c>
    </row>
    <row r="21" spans="1:8" ht="15.75" thickBot="1">
      <c r="A21" s="51" t="s">
        <v>33</v>
      </c>
      <c r="B21" s="246" t="s">
        <v>137</v>
      </c>
      <c r="C21" s="260">
        <f>'RZiS 2022'!D21</f>
        <v>20268413.629999999</v>
      </c>
      <c r="D21" s="524">
        <v>22000000</v>
      </c>
      <c r="E21" s="238">
        <f t="shared" si="0"/>
        <v>1731586.370000001</v>
      </c>
      <c r="F21" s="235">
        <f t="shared" si="1"/>
        <v>8.5432752735863773E-2</v>
      </c>
      <c r="H21" s="113"/>
    </row>
    <row r="22" spans="1:8">
      <c r="A22" s="51"/>
      <c r="B22" s="250" t="s">
        <v>138</v>
      </c>
      <c r="C22" s="260">
        <f>'RZiS 2022'!D22</f>
        <v>8198161.9299999997</v>
      </c>
      <c r="D22" s="524">
        <v>9000000</v>
      </c>
      <c r="E22" s="238">
        <f t="shared" si="0"/>
        <v>801838.0700000003</v>
      </c>
      <c r="F22" s="235">
        <f t="shared" si="1"/>
        <v>9.7807054416159889E-2</v>
      </c>
    </row>
    <row r="23" spans="1:8">
      <c r="A23" s="51" t="s">
        <v>37</v>
      </c>
      <c r="B23" s="250" t="s">
        <v>139</v>
      </c>
      <c r="C23" s="260">
        <f>'RZiS 2022'!D23</f>
        <v>3344367.6</v>
      </c>
      <c r="D23" s="524">
        <v>3500000</v>
      </c>
      <c r="E23" s="238">
        <f t="shared" si="0"/>
        <v>155632.39999999991</v>
      </c>
      <c r="F23" s="235">
        <f t="shared" si="1"/>
        <v>4.6535673889437246E-2</v>
      </c>
    </row>
    <row r="24" spans="1:8" ht="15.75" thickBot="1">
      <c r="A24" s="53" t="s">
        <v>140</v>
      </c>
      <c r="B24" s="251" t="s">
        <v>141</v>
      </c>
      <c r="C24" s="261">
        <f>'RZiS 2022'!D24</f>
        <v>3807325.5</v>
      </c>
      <c r="D24" s="526">
        <v>3800000</v>
      </c>
      <c r="E24" s="239">
        <f t="shared" si="0"/>
        <v>-7325.5</v>
      </c>
      <c r="F24" s="236">
        <f t="shared" si="1"/>
        <v>-1.9240540374076238E-3</v>
      </c>
    </row>
    <row r="25" spans="1:8" ht="28.5" customHeight="1" thickBot="1">
      <c r="A25" s="55" t="s">
        <v>142</v>
      </c>
      <c r="B25" s="248" t="s">
        <v>143</v>
      </c>
      <c r="C25" s="262">
        <f>'RZiS 2022'!D25</f>
        <v>-5536878.2199999988</v>
      </c>
      <c r="D25" s="56">
        <f>D8-D14</f>
        <v>1404000</v>
      </c>
      <c r="E25" s="114">
        <f t="shared" si="0"/>
        <v>6940878.2199999988</v>
      </c>
      <c r="F25" s="115">
        <f t="shared" si="1"/>
        <v>-1.2535724905287875</v>
      </c>
    </row>
    <row r="26" spans="1:8" ht="15.75" thickBot="1">
      <c r="A26" s="55" t="s">
        <v>144</v>
      </c>
      <c r="B26" s="248" t="s">
        <v>145</v>
      </c>
      <c r="C26" s="262">
        <f>C27+C28+C29+C30</f>
        <v>15638531.23</v>
      </c>
      <c r="D26" s="56">
        <f>D27+D28+D29+D30</f>
        <v>5790000</v>
      </c>
      <c r="E26" s="241">
        <f t="shared" si="0"/>
        <v>-9848531.2300000004</v>
      </c>
      <c r="F26" s="242">
        <f t="shared" si="1"/>
        <v>-0.62976062682326461</v>
      </c>
    </row>
    <row r="27" spans="1:8">
      <c r="A27" s="57" t="s">
        <v>8</v>
      </c>
      <c r="B27" s="252" t="s">
        <v>174</v>
      </c>
      <c r="C27" s="263">
        <f>'RZiS 2022'!D27</f>
        <v>0</v>
      </c>
      <c r="D27" s="528"/>
      <c r="E27" s="240">
        <f t="shared" si="0"/>
        <v>0</v>
      </c>
      <c r="F27" s="237" t="e">
        <f t="shared" si="1"/>
        <v>#DIV/0!</v>
      </c>
    </row>
    <row r="28" spans="1:8">
      <c r="A28" s="51" t="s">
        <v>11</v>
      </c>
      <c r="B28" s="250" t="s">
        <v>146</v>
      </c>
      <c r="C28" s="260">
        <f>'RZiS 2022'!D28</f>
        <v>12037083.33</v>
      </c>
      <c r="D28" s="524">
        <v>795000</v>
      </c>
      <c r="E28" s="238">
        <f t="shared" si="0"/>
        <v>-11242083.33</v>
      </c>
      <c r="F28" s="235">
        <f t="shared" si="1"/>
        <v>-0.9339541001582482</v>
      </c>
    </row>
    <row r="29" spans="1:8">
      <c r="A29" s="53" t="s">
        <v>16</v>
      </c>
      <c r="B29" s="247" t="s">
        <v>147</v>
      </c>
      <c r="C29" s="261">
        <f>'RZiS 2022'!D29</f>
        <v>0</v>
      </c>
      <c r="D29" s="526"/>
      <c r="E29" s="238">
        <f t="shared" si="0"/>
        <v>0</v>
      </c>
      <c r="F29" s="235" t="e">
        <f t="shared" si="1"/>
        <v>#DIV/0!</v>
      </c>
    </row>
    <row r="30" spans="1:8" ht="15.75" thickBot="1">
      <c r="A30" s="53" t="s">
        <v>20</v>
      </c>
      <c r="B30" s="251" t="s">
        <v>148</v>
      </c>
      <c r="C30" s="261">
        <f>'RZiS 2022'!D30</f>
        <v>3601447.9</v>
      </c>
      <c r="D30" s="526">
        <v>4995000</v>
      </c>
      <c r="E30" s="239">
        <f t="shared" si="0"/>
        <v>1393552.1</v>
      </c>
      <c r="F30" s="236">
        <f t="shared" si="1"/>
        <v>0.38694217956061511</v>
      </c>
    </row>
    <row r="31" spans="1:8" ht="30" customHeight="1" thickBot="1">
      <c r="A31" s="55" t="s">
        <v>149</v>
      </c>
      <c r="B31" s="248" t="s">
        <v>150</v>
      </c>
      <c r="C31" s="262">
        <f>'RZiS 2022'!D31</f>
        <v>3625711.7100000004</v>
      </c>
      <c r="D31" s="56">
        <f>D32+D33+D34</f>
        <v>2020000</v>
      </c>
      <c r="E31" s="114">
        <f t="shared" si="0"/>
        <v>-1605711.7100000004</v>
      </c>
      <c r="F31" s="115">
        <f t="shared" si="1"/>
        <v>-0.44286800452758562</v>
      </c>
    </row>
    <row r="32" spans="1:8" ht="30">
      <c r="A32" s="57" t="s">
        <v>8</v>
      </c>
      <c r="B32" s="252" t="s">
        <v>175</v>
      </c>
      <c r="C32" s="263">
        <f>'RZiS 2022'!D32</f>
        <v>64392.22</v>
      </c>
      <c r="D32" s="528"/>
      <c r="E32" s="240">
        <f t="shared" si="0"/>
        <v>-64392.22</v>
      </c>
      <c r="F32" s="237">
        <f t="shared" si="1"/>
        <v>-1</v>
      </c>
    </row>
    <row r="33" spans="1:6">
      <c r="A33" s="51" t="s">
        <v>11</v>
      </c>
      <c r="B33" s="246" t="s">
        <v>147</v>
      </c>
      <c r="C33" s="260">
        <f>'RZiS 2022'!D33</f>
        <v>130868</v>
      </c>
      <c r="D33" s="524">
        <v>200000</v>
      </c>
      <c r="E33" s="238">
        <f t="shared" si="0"/>
        <v>69132</v>
      </c>
      <c r="F33" s="235">
        <f t="shared" si="1"/>
        <v>0.52825748082036861</v>
      </c>
    </row>
    <row r="34" spans="1:6" ht="15.75" thickBot="1">
      <c r="A34" s="53" t="s">
        <v>16</v>
      </c>
      <c r="B34" s="251" t="s">
        <v>151</v>
      </c>
      <c r="C34" s="261">
        <f>'RZiS 2022'!D34</f>
        <v>3430451.49</v>
      </c>
      <c r="D34" s="526">
        <v>1820000</v>
      </c>
      <c r="E34" s="239">
        <f t="shared" si="0"/>
        <v>-1610451.4900000002</v>
      </c>
      <c r="F34" s="236">
        <f t="shared" si="1"/>
        <v>-0.46945759026022554</v>
      </c>
    </row>
    <row r="35" spans="1:6" ht="32.25" customHeight="1" thickBot="1">
      <c r="A35" s="55" t="s">
        <v>152</v>
      </c>
      <c r="B35" s="248" t="s">
        <v>153</v>
      </c>
      <c r="C35" s="262">
        <f>'RZiS 2022'!D35</f>
        <v>6475941.3000000007</v>
      </c>
      <c r="D35" s="56">
        <f>D25+D26-D31</f>
        <v>5174000</v>
      </c>
      <c r="E35" s="114">
        <f t="shared" si="0"/>
        <v>-1301941.3000000007</v>
      </c>
      <c r="F35" s="115">
        <f t="shared" si="1"/>
        <v>-0.20104278894560093</v>
      </c>
    </row>
    <row r="36" spans="1:6" ht="28.5" customHeight="1" thickBot="1">
      <c r="A36" s="59" t="s">
        <v>154</v>
      </c>
      <c r="B36" s="253" t="s">
        <v>155</v>
      </c>
      <c r="C36" s="264">
        <f>'RZiS 2022'!D36</f>
        <v>511765.7</v>
      </c>
      <c r="D36" s="60">
        <f>D37+D42+D44+D46+D47</f>
        <v>610000</v>
      </c>
      <c r="E36" s="241">
        <f t="shared" si="0"/>
        <v>98234.299999999988</v>
      </c>
      <c r="F36" s="242">
        <f t="shared" si="1"/>
        <v>0.19195170758806224</v>
      </c>
    </row>
    <row r="37" spans="1:6">
      <c r="A37" s="57" t="s">
        <v>8</v>
      </c>
      <c r="B37" s="249" t="s">
        <v>156</v>
      </c>
      <c r="C37" s="263">
        <f>'RZiS 2022'!D37</f>
        <v>0</v>
      </c>
      <c r="D37" s="58">
        <f>D38+D40</f>
        <v>0</v>
      </c>
      <c r="E37" s="240">
        <f t="shared" si="0"/>
        <v>0</v>
      </c>
      <c r="F37" s="237" t="e">
        <f t="shared" si="1"/>
        <v>#DIV/0!</v>
      </c>
    </row>
    <row r="38" spans="1:6">
      <c r="A38" s="51"/>
      <c r="B38" s="250" t="s">
        <v>176</v>
      </c>
      <c r="C38" s="260">
        <f>'RZiS 2022'!D38</f>
        <v>0</v>
      </c>
      <c r="D38" s="524"/>
      <c r="E38" s="238">
        <f t="shared" si="0"/>
        <v>0</v>
      </c>
      <c r="F38" s="235" t="e">
        <f t="shared" si="1"/>
        <v>#DIV/0!</v>
      </c>
    </row>
    <row r="39" spans="1:6" ht="30">
      <c r="A39" s="51"/>
      <c r="B39" s="246" t="s">
        <v>157</v>
      </c>
      <c r="C39" s="260">
        <f>'RZiS 2022'!D39</f>
        <v>0</v>
      </c>
      <c r="D39" s="524"/>
      <c r="E39" s="238">
        <f t="shared" si="0"/>
        <v>0</v>
      </c>
      <c r="F39" s="235" t="e">
        <f t="shared" si="1"/>
        <v>#DIV/0!</v>
      </c>
    </row>
    <row r="40" spans="1:6">
      <c r="A40" s="51"/>
      <c r="B40" s="250" t="s">
        <v>158</v>
      </c>
      <c r="C40" s="260">
        <f>'RZiS 2022'!D40</f>
        <v>0</v>
      </c>
      <c r="D40" s="524"/>
      <c r="E40" s="238">
        <f t="shared" si="0"/>
        <v>0</v>
      </c>
      <c r="F40" s="235" t="e">
        <f t="shared" si="1"/>
        <v>#DIV/0!</v>
      </c>
    </row>
    <row r="41" spans="1:6" ht="30">
      <c r="A41" s="51"/>
      <c r="B41" s="246" t="s">
        <v>157</v>
      </c>
      <c r="C41" s="260">
        <f>'RZiS 2022'!D41</f>
        <v>0</v>
      </c>
      <c r="D41" s="524"/>
      <c r="E41" s="238">
        <f t="shared" si="0"/>
        <v>0</v>
      </c>
      <c r="F41" s="235" t="e">
        <f t="shared" si="1"/>
        <v>#DIV/0!</v>
      </c>
    </row>
    <row r="42" spans="1:6">
      <c r="A42" s="51" t="s">
        <v>11</v>
      </c>
      <c r="B42" s="250" t="s">
        <v>159</v>
      </c>
      <c r="C42" s="260">
        <f>'RZiS 2022'!D42</f>
        <v>490334.2</v>
      </c>
      <c r="D42" s="524">
        <v>600000</v>
      </c>
      <c r="E42" s="238">
        <f t="shared" si="0"/>
        <v>109665.79999999999</v>
      </c>
      <c r="F42" s="235">
        <f t="shared" si="1"/>
        <v>0.22365521311791017</v>
      </c>
    </row>
    <row r="43" spans="1:6">
      <c r="A43" s="51"/>
      <c r="B43" s="250" t="s">
        <v>125</v>
      </c>
      <c r="C43" s="260">
        <f>'RZiS 2022'!D43</f>
        <v>0</v>
      </c>
      <c r="D43" s="524"/>
      <c r="E43" s="238">
        <f t="shared" si="0"/>
        <v>0</v>
      </c>
      <c r="F43" s="235" t="e">
        <f t="shared" si="1"/>
        <v>#DIV/0!</v>
      </c>
    </row>
    <row r="44" spans="1:6">
      <c r="A44" s="51" t="s">
        <v>16</v>
      </c>
      <c r="B44" s="250" t="s">
        <v>177</v>
      </c>
      <c r="C44" s="260">
        <f>'RZiS 2022'!D44</f>
        <v>0</v>
      </c>
      <c r="D44" s="524"/>
      <c r="E44" s="238">
        <f t="shared" si="0"/>
        <v>0</v>
      </c>
      <c r="F44" s="235" t="e">
        <f t="shared" si="1"/>
        <v>#DIV/0!</v>
      </c>
    </row>
    <row r="45" spans="1:6">
      <c r="A45" s="51"/>
      <c r="B45" s="250" t="s">
        <v>125</v>
      </c>
      <c r="C45" s="260">
        <f>'RZiS 2022'!D45</f>
        <v>0</v>
      </c>
      <c r="D45" s="524"/>
      <c r="E45" s="238">
        <f t="shared" si="0"/>
        <v>0</v>
      </c>
      <c r="F45" s="235" t="e">
        <f t="shared" si="1"/>
        <v>#DIV/0!</v>
      </c>
    </row>
    <row r="46" spans="1:6">
      <c r="A46" s="51" t="s">
        <v>20</v>
      </c>
      <c r="B46" s="250" t="s">
        <v>178</v>
      </c>
      <c r="C46" s="260">
        <f>'RZiS 2022'!D46</f>
        <v>0</v>
      </c>
      <c r="D46" s="524"/>
      <c r="E46" s="238">
        <f t="shared" si="0"/>
        <v>0</v>
      </c>
      <c r="F46" s="235" t="e">
        <f t="shared" si="1"/>
        <v>#DIV/0!</v>
      </c>
    </row>
    <row r="47" spans="1:6" ht="15.75" thickBot="1">
      <c r="A47" s="53" t="s">
        <v>80</v>
      </c>
      <c r="B47" s="251" t="s">
        <v>160</v>
      </c>
      <c r="C47" s="261">
        <f>'RZiS 2022'!D47</f>
        <v>21431.5</v>
      </c>
      <c r="D47" s="526">
        <v>10000</v>
      </c>
      <c r="E47" s="239">
        <f t="shared" si="0"/>
        <v>-11431.5</v>
      </c>
      <c r="F47" s="236">
        <f t="shared" si="1"/>
        <v>-0.53339710239600591</v>
      </c>
    </row>
    <row r="48" spans="1:6" ht="25.5" customHeight="1" thickBot="1">
      <c r="A48" s="55" t="s">
        <v>161</v>
      </c>
      <c r="B48" s="248" t="s">
        <v>162</v>
      </c>
      <c r="C48" s="262">
        <f>'RZiS 2022'!D48</f>
        <v>173671.87</v>
      </c>
      <c r="D48" s="56">
        <f>D49+D51+D53+D54</f>
        <v>120000</v>
      </c>
      <c r="E48" s="114">
        <f t="shared" si="0"/>
        <v>-53671.869999999995</v>
      </c>
      <c r="F48" s="115">
        <f t="shared" si="1"/>
        <v>-0.30904181546499154</v>
      </c>
    </row>
    <row r="49" spans="1:6">
      <c r="A49" s="57" t="s">
        <v>8</v>
      </c>
      <c r="B49" s="249" t="s">
        <v>159</v>
      </c>
      <c r="C49" s="263">
        <f>'RZiS 2022'!D49</f>
        <v>48249.51</v>
      </c>
      <c r="D49" s="528">
        <v>50000</v>
      </c>
      <c r="E49" s="240">
        <f t="shared" si="0"/>
        <v>1750.489999999998</v>
      </c>
      <c r="F49" s="237">
        <f t="shared" si="1"/>
        <v>3.6279953931138323E-2</v>
      </c>
    </row>
    <row r="50" spans="1:6">
      <c r="A50" s="51"/>
      <c r="B50" s="250" t="s">
        <v>163</v>
      </c>
      <c r="C50" s="260">
        <f>'RZiS 2022'!D50</f>
        <v>0</v>
      </c>
      <c r="D50" s="524"/>
      <c r="E50" s="238">
        <f t="shared" si="0"/>
        <v>0</v>
      </c>
      <c r="F50" s="235" t="e">
        <f t="shared" si="1"/>
        <v>#DIV/0!</v>
      </c>
    </row>
    <row r="51" spans="1:6">
      <c r="A51" s="51" t="s">
        <v>11</v>
      </c>
      <c r="B51" s="250" t="s">
        <v>179</v>
      </c>
      <c r="C51" s="260">
        <f>'RZiS 2022'!D51</f>
        <v>0</v>
      </c>
      <c r="D51" s="524"/>
      <c r="E51" s="238">
        <f t="shared" si="0"/>
        <v>0</v>
      </c>
      <c r="F51" s="235" t="e">
        <f t="shared" si="1"/>
        <v>#DIV/0!</v>
      </c>
    </row>
    <row r="52" spans="1:6">
      <c r="A52" s="51"/>
      <c r="B52" s="250" t="s">
        <v>125</v>
      </c>
      <c r="C52" s="260">
        <f>'RZiS 2022'!D52</f>
        <v>0</v>
      </c>
      <c r="D52" s="524"/>
      <c r="E52" s="238">
        <f t="shared" si="0"/>
        <v>0</v>
      </c>
      <c r="F52" s="235" t="e">
        <f t="shared" si="1"/>
        <v>#DIV/0!</v>
      </c>
    </row>
    <row r="53" spans="1:6">
      <c r="A53" s="51" t="s">
        <v>16</v>
      </c>
      <c r="B53" s="250" t="s">
        <v>178</v>
      </c>
      <c r="C53" s="260">
        <f>'RZiS 2022'!D53</f>
        <v>0</v>
      </c>
      <c r="D53" s="524"/>
      <c r="E53" s="238">
        <f t="shared" si="0"/>
        <v>0</v>
      </c>
      <c r="F53" s="235" t="e">
        <f t="shared" si="1"/>
        <v>#DIV/0!</v>
      </c>
    </row>
    <row r="54" spans="1:6" ht="15.75" thickBot="1">
      <c r="A54" s="61" t="s">
        <v>20</v>
      </c>
      <c r="B54" s="254" t="s">
        <v>160</v>
      </c>
      <c r="C54" s="265">
        <f>'RZiS 2022'!D54</f>
        <v>125422.36</v>
      </c>
      <c r="D54" s="530">
        <v>70000</v>
      </c>
      <c r="E54" s="239">
        <f t="shared" si="0"/>
        <v>-55422.36</v>
      </c>
      <c r="F54" s="236">
        <f t="shared" si="1"/>
        <v>-0.44188580090503798</v>
      </c>
    </row>
    <row r="55" spans="1:6" ht="28.5" customHeight="1" thickBot="1">
      <c r="A55" s="45" t="s">
        <v>8</v>
      </c>
      <c r="B55" s="243" t="s">
        <v>164</v>
      </c>
      <c r="C55" s="257">
        <f>'RZiS 2022'!D55</f>
        <v>6814035.1300000008</v>
      </c>
      <c r="D55" s="46">
        <f>D35+D36-D48</f>
        <v>5664000</v>
      </c>
      <c r="E55" s="114">
        <f t="shared" si="0"/>
        <v>-1150035.1300000008</v>
      </c>
      <c r="F55" s="115">
        <f t="shared" si="1"/>
        <v>-0.16877446447799582</v>
      </c>
    </row>
    <row r="56" spans="1:6">
      <c r="A56" s="63" t="s">
        <v>165</v>
      </c>
      <c r="B56" s="255" t="s">
        <v>166</v>
      </c>
      <c r="C56" s="258">
        <f>'RZiS 2022'!D56</f>
        <v>307863</v>
      </c>
      <c r="D56" s="520"/>
      <c r="E56" s="240">
        <f t="shared" si="0"/>
        <v>-307863</v>
      </c>
      <c r="F56" s="237">
        <f t="shared" si="1"/>
        <v>-1</v>
      </c>
    </row>
    <row r="57" spans="1:6" ht="30.75" thickBot="1">
      <c r="A57" s="64" t="s">
        <v>167</v>
      </c>
      <c r="B57" s="256" t="s">
        <v>168</v>
      </c>
      <c r="C57" s="265">
        <f>'RZiS 2022'!D57</f>
        <v>0</v>
      </c>
      <c r="D57" s="530"/>
      <c r="E57" s="239">
        <f t="shared" si="0"/>
        <v>0</v>
      </c>
      <c r="F57" s="236" t="e">
        <f t="shared" si="1"/>
        <v>#DIV/0!</v>
      </c>
    </row>
    <row r="58" spans="1:6" ht="28.5" customHeight="1" thickBot="1">
      <c r="A58" s="45" t="s">
        <v>169</v>
      </c>
      <c r="B58" s="243" t="s">
        <v>170</v>
      </c>
      <c r="C58" s="257">
        <f>'RZiS 2022'!D58</f>
        <v>6506172.1300000008</v>
      </c>
      <c r="D58" s="46">
        <f>D55-D56-D57</f>
        <v>5664000</v>
      </c>
      <c r="E58" s="114">
        <f t="shared" si="0"/>
        <v>-842172.13000000082</v>
      </c>
      <c r="F58" s="115">
        <f t="shared" si="1"/>
        <v>-0.12944203030177143</v>
      </c>
    </row>
    <row r="61" spans="1:6" ht="15" customHeight="1">
      <c r="A61" s="686" t="s">
        <v>117</v>
      </c>
      <c r="B61" s="686"/>
      <c r="C61" s="686" t="s">
        <v>118</v>
      </c>
      <c r="D61" s="686"/>
      <c r="F61" s="74"/>
    </row>
    <row r="62" spans="1:6" ht="15" customHeight="1">
      <c r="A62" s="685" t="s">
        <v>207</v>
      </c>
      <c r="B62" s="685"/>
      <c r="C62" s="685" t="s">
        <v>119</v>
      </c>
      <c r="D62" s="685"/>
      <c r="F62" s="73"/>
    </row>
    <row r="63" spans="1:6">
      <c r="A63" s="685"/>
      <c r="B63" s="685"/>
    </row>
  </sheetData>
  <sheetProtection algorithmName="SHA-512" hashValue="K/ZiXMx0T0xjPu702soTUuUTREvNUkKpaDwFSG72Osn/gOOYBgqqWkbf8QMdM4aIDL+d2uMHUG3LBYIVjT58Jg==" saltValue="5N7M6cW36J06EgHWrjcbaQ==" spinCount="100000" sheet="1" formatCells="0" formatColumns="0" formatRows="0"/>
  <mergeCells count="13">
    <mergeCell ref="A61:B61"/>
    <mergeCell ref="C61:D61"/>
    <mergeCell ref="A62:B63"/>
    <mergeCell ref="C62:D62"/>
    <mergeCell ref="A2:B2"/>
    <mergeCell ref="A3:B3"/>
    <mergeCell ref="C3:D3"/>
    <mergeCell ref="A4:F4"/>
    <mergeCell ref="A6:A7"/>
    <mergeCell ref="B6:B7"/>
    <mergeCell ref="C6:D6"/>
    <mergeCell ref="E6:E7"/>
    <mergeCell ref="F6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3"/>
  <sheetViews>
    <sheetView zoomScale="70" zoomScaleNormal="70" workbookViewId="0">
      <pane ySplit="4" topLeftCell="A5" activePane="bottomLeft" state="frozen"/>
      <selection pane="bottomLeft" activeCell="D1" sqref="D1"/>
    </sheetView>
  </sheetViews>
  <sheetFormatPr defaultColWidth="9.140625" defaultRowHeight="15"/>
  <cols>
    <col min="1" max="1" width="59.28515625" style="148" customWidth="1"/>
    <col min="2" max="2" width="21.85546875" style="148" customWidth="1"/>
    <col min="3" max="3" width="16.42578125" style="148" customWidth="1"/>
    <col min="4" max="4" width="12.42578125" style="42" customWidth="1"/>
    <col min="5" max="5" width="12.28515625" style="42" customWidth="1"/>
    <col min="6" max="16384" width="9.140625" style="42"/>
  </cols>
  <sheetData>
    <row r="1" spans="1:5" s="534" customFormat="1">
      <c r="A1" s="538"/>
      <c r="B1" s="538"/>
      <c r="C1" s="538"/>
      <c r="D1" s="534" t="s">
        <v>336</v>
      </c>
    </row>
    <row r="2" spans="1:5" s="534" customFormat="1" ht="15.75" thickBot="1">
      <c r="A2" s="538"/>
      <c r="B2" s="538"/>
      <c r="C2" s="538"/>
    </row>
    <row r="3" spans="1:5" ht="16.5" thickBot="1">
      <c r="A3" s="712" t="str">
        <f ca="1">RIGHT(CELL("nazwa_pliku",A1),31)</f>
        <v>Analiza wskaźnikowa za 2023 rok</v>
      </c>
      <c r="B3" s="713"/>
      <c r="C3" s="713"/>
      <c r="D3" s="713"/>
      <c r="E3" s="714"/>
    </row>
    <row r="4" spans="1:5" ht="15.75" thickBot="1">
      <c r="A4" s="274" t="s">
        <v>185</v>
      </c>
      <c r="B4" s="762" t="s">
        <v>213</v>
      </c>
      <c r="C4" s="762"/>
      <c r="D4" s="469" t="s">
        <v>186</v>
      </c>
      <c r="E4" s="131" t="s">
        <v>187</v>
      </c>
    </row>
    <row r="6" spans="1:5">
      <c r="A6" s="139" t="s">
        <v>180</v>
      </c>
      <c r="B6" s="139"/>
      <c r="C6" s="139"/>
      <c r="D6" s="284"/>
      <c r="E6" s="132">
        <f>E8+E13+E18</f>
        <v>12</v>
      </c>
    </row>
    <row r="7" spans="1:5">
      <c r="A7" s="277"/>
      <c r="B7" s="140"/>
      <c r="C7" s="278"/>
      <c r="D7" s="279"/>
      <c r="E7" s="133"/>
    </row>
    <row r="8" spans="1:5" ht="15" customHeight="1">
      <c r="A8" s="705" t="s">
        <v>252</v>
      </c>
      <c r="B8" s="141" t="s">
        <v>210</v>
      </c>
      <c r="C8" s="111">
        <v>0</v>
      </c>
      <c r="D8" s="763">
        <f>ROUND(('RZiS 2023'!D58)/('RZiS 2023'!D10+'RZiS 2023'!D13+'RZiS 2023'!D26+'RZiS 2023'!D36),4)</f>
        <v>2.1100000000000001E-2</v>
      </c>
      <c r="E8" s="709">
        <f>IF(D8&lt;0%,0,IF(AND(D8&gt;=0%,D8&lt;=2%),3,IF(AND(D8&gt;2%,D8&lt;=4%),4,5)))</f>
        <v>4</v>
      </c>
    </row>
    <row r="9" spans="1:5">
      <c r="A9" s="706"/>
      <c r="B9" s="141" t="s">
        <v>211</v>
      </c>
      <c r="C9" s="111">
        <v>3</v>
      </c>
      <c r="D9" s="763"/>
      <c r="E9" s="710"/>
    </row>
    <row r="10" spans="1:5">
      <c r="A10" s="706"/>
      <c r="B10" s="141" t="s">
        <v>235</v>
      </c>
      <c r="C10" s="111">
        <v>4</v>
      </c>
      <c r="D10" s="763"/>
      <c r="E10" s="710"/>
    </row>
    <row r="11" spans="1:5">
      <c r="A11" s="707"/>
      <c r="B11" s="141" t="s">
        <v>212</v>
      </c>
      <c r="C11" s="111">
        <v>5</v>
      </c>
      <c r="D11" s="763"/>
      <c r="E11" s="711"/>
    </row>
    <row r="12" spans="1:5">
      <c r="A12" s="99"/>
      <c r="B12" s="205"/>
      <c r="C12" s="206"/>
      <c r="D12" s="270"/>
      <c r="E12" s="128"/>
    </row>
    <row r="13" spans="1:5" ht="18.75" customHeight="1">
      <c r="A13" s="705" t="s">
        <v>246</v>
      </c>
      <c r="B13" s="141" t="s">
        <v>210</v>
      </c>
      <c r="C13" s="111">
        <v>0</v>
      </c>
      <c r="D13" s="763">
        <f>ROUND(('RZiS 2023'!D35)/('RZiS 2023'!D10+'RZiS 2023'!D13+'RZiS 2023'!D26),4)</f>
        <v>1.9300000000000001E-2</v>
      </c>
      <c r="E13" s="709">
        <f>IF(D13&lt;0%,0,IF(AND(D13&gt;=0%,D13&lt;=3%),3,IF(AND(D13&gt;3%,D13&lt;5%),4,5)))</f>
        <v>3</v>
      </c>
    </row>
    <row r="14" spans="1:5" ht="18.75" customHeight="1">
      <c r="A14" s="706"/>
      <c r="B14" s="141" t="s">
        <v>214</v>
      </c>
      <c r="C14" s="111">
        <v>3</v>
      </c>
      <c r="D14" s="763"/>
      <c r="E14" s="710"/>
    </row>
    <row r="15" spans="1:5" ht="18.75" customHeight="1">
      <c r="A15" s="706"/>
      <c r="B15" s="141" t="s">
        <v>236</v>
      </c>
      <c r="C15" s="111">
        <v>4</v>
      </c>
      <c r="D15" s="763"/>
      <c r="E15" s="710"/>
    </row>
    <row r="16" spans="1:5" ht="18.75" customHeight="1">
      <c r="A16" s="707"/>
      <c r="B16" s="141" t="s">
        <v>215</v>
      </c>
      <c r="C16" s="111">
        <v>5</v>
      </c>
      <c r="D16" s="763"/>
      <c r="E16" s="711"/>
    </row>
    <row r="17" spans="1:9">
      <c r="A17" s="280"/>
      <c r="B17" s="142"/>
      <c r="C17" s="142"/>
      <c r="D17" s="281"/>
      <c r="E17" s="134"/>
    </row>
    <row r="18" spans="1:9" ht="18.75" customHeight="1">
      <c r="A18" s="705" t="s">
        <v>251</v>
      </c>
      <c r="B18" s="141" t="s">
        <v>210</v>
      </c>
      <c r="C18" s="111">
        <v>0</v>
      </c>
      <c r="D18" s="764">
        <f>ROUND(('RZiS 2023'!D58)/(('BILANS 2023'!C95+'BILANS 2023'!D95)/2),4)</f>
        <v>6.7000000000000004E-2</v>
      </c>
      <c r="E18" s="709">
        <f>IF(D18&lt;0%,0,IF(AND(D18&gt;=0%,D18&lt;=2%),3,IF(AND(D18&gt;2%,D18&lt;4%),4,5)))</f>
        <v>5</v>
      </c>
    </row>
    <row r="19" spans="1:9">
      <c r="A19" s="706"/>
      <c r="B19" s="141" t="s">
        <v>211</v>
      </c>
      <c r="C19" s="111">
        <v>3</v>
      </c>
      <c r="D19" s="765"/>
      <c r="E19" s="710"/>
    </row>
    <row r="20" spans="1:9">
      <c r="A20" s="706"/>
      <c r="B20" s="141" t="s">
        <v>235</v>
      </c>
      <c r="C20" s="111">
        <v>4</v>
      </c>
      <c r="D20" s="765"/>
      <c r="E20" s="710"/>
    </row>
    <row r="21" spans="1:9">
      <c r="A21" s="707"/>
      <c r="B21" s="141" t="s">
        <v>212</v>
      </c>
      <c r="C21" s="111">
        <v>5</v>
      </c>
      <c r="D21" s="766"/>
      <c r="E21" s="711"/>
    </row>
    <row r="22" spans="1:9">
      <c r="A22" s="280"/>
      <c r="B22" s="146"/>
      <c r="C22" s="146"/>
      <c r="D22" s="282"/>
      <c r="E22" s="134"/>
    </row>
    <row r="23" spans="1:9">
      <c r="A23" s="283" t="s">
        <v>181</v>
      </c>
      <c r="B23" s="144"/>
      <c r="C23" s="144"/>
      <c r="D23" s="284"/>
      <c r="E23" s="132">
        <f>E25+E31</f>
        <v>25</v>
      </c>
    </row>
    <row r="24" spans="1:9">
      <c r="A24" s="280"/>
      <c r="B24" s="142"/>
      <c r="C24" s="142"/>
      <c r="D24" s="134"/>
      <c r="E24" s="134"/>
    </row>
    <row r="25" spans="1:9" ht="18.75" customHeight="1">
      <c r="A25" s="719" t="s">
        <v>245</v>
      </c>
      <c r="B25" s="141" t="s">
        <v>216</v>
      </c>
      <c r="C25" s="199">
        <v>0</v>
      </c>
      <c r="D25" s="722">
        <f>ROUND(('BILANS 2023'!D50-'BILANS 2023'!D61-'BILANS 2023'!D92)/('BILANS 2023'!K38-'BILANS 2023'!K47+'BILANS 2023'!K25+'BILANS 2023'!K28),2)</f>
        <v>1.52</v>
      </c>
      <c r="E25" s="709">
        <f>IF(D25&lt;0.6,0,IF(AND(D25&gt;=0.6,D25&lt;=1),4,IF(AND(D25&gt;1,D25&lt;=1.5),8,IF(AND(D25&gt;1.5,D25&lt;=3),12,10))))</f>
        <v>12</v>
      </c>
    </row>
    <row r="26" spans="1:9" ht="18" customHeight="1">
      <c r="A26" s="720"/>
      <c r="B26" s="141" t="s">
        <v>217</v>
      </c>
      <c r="C26" s="199">
        <v>4</v>
      </c>
      <c r="D26" s="723"/>
      <c r="E26" s="710"/>
    </row>
    <row r="27" spans="1:9" ht="18" customHeight="1">
      <c r="A27" s="720"/>
      <c r="B27" s="141" t="s">
        <v>237</v>
      </c>
      <c r="C27" s="199">
        <v>8</v>
      </c>
      <c r="D27" s="723"/>
      <c r="E27" s="710"/>
    </row>
    <row r="28" spans="1:9" ht="18" customHeight="1">
      <c r="A28" s="720"/>
      <c r="B28" s="141" t="s">
        <v>238</v>
      </c>
      <c r="C28" s="199">
        <v>12</v>
      </c>
      <c r="D28" s="723"/>
      <c r="E28" s="710"/>
    </row>
    <row r="29" spans="1:9" ht="45" customHeight="1">
      <c r="A29" s="721"/>
      <c r="B29" s="201" t="s">
        <v>218</v>
      </c>
      <c r="C29" s="111">
        <v>10</v>
      </c>
      <c r="D29" s="724"/>
      <c r="E29" s="711"/>
    </row>
    <row r="30" spans="1:9" ht="16.5" customHeight="1">
      <c r="A30" s="280"/>
      <c r="B30" s="146"/>
      <c r="C30" s="146"/>
      <c r="D30" s="285"/>
      <c r="E30" s="134"/>
    </row>
    <row r="31" spans="1:9" ht="23.25" customHeight="1">
      <c r="A31" s="719" t="s">
        <v>242</v>
      </c>
      <c r="B31" s="143" t="s">
        <v>219</v>
      </c>
      <c r="C31" s="200">
        <v>0</v>
      </c>
      <c r="D31" s="722">
        <f>ROUND(('BILANS 2023'!D50-'BILANS 2023'!D61-'BILANS 2023'!D66-'BILANS 2023'!D71-'BILANS 2023'!D92-'BILANS 2023'!D51)/('BILANS 2023'!K38-'BILANS 2023'!K42-'BILANS 2023'!K47-'BILANS 2023'!K55+'BILANS 2023'!K25+'BILANS 2023'!K28),2)</f>
        <v>1.5</v>
      </c>
      <c r="E31" s="709">
        <f>IF(D31&lt;0.5,0,IF(AND(D31&gt;=0.5,D31&lt;=1),8,IF(AND(D31&gt;1,D31&lt;=2.5),13,10)))</f>
        <v>13</v>
      </c>
    </row>
    <row r="32" spans="1:9" ht="23.25" customHeight="1">
      <c r="A32" s="720"/>
      <c r="B32" s="141" t="s">
        <v>220</v>
      </c>
      <c r="C32" s="199">
        <v>8</v>
      </c>
      <c r="D32" s="723"/>
      <c r="E32" s="710"/>
      <c r="I32" s="42" t="s">
        <v>241</v>
      </c>
    </row>
    <row r="33" spans="1:8" ht="25.5" customHeight="1">
      <c r="A33" s="720"/>
      <c r="B33" s="141" t="s">
        <v>239</v>
      </c>
      <c r="C33" s="199">
        <v>13</v>
      </c>
      <c r="D33" s="723"/>
      <c r="E33" s="710"/>
    </row>
    <row r="34" spans="1:8" ht="47.25" customHeight="1">
      <c r="A34" s="721"/>
      <c r="B34" s="201" t="s">
        <v>221</v>
      </c>
      <c r="C34" s="111">
        <v>10</v>
      </c>
      <c r="D34" s="724"/>
      <c r="E34" s="711"/>
      <c r="H34" s="286"/>
    </row>
    <row r="35" spans="1:8">
      <c r="A35" s="280"/>
      <c r="B35" s="146"/>
      <c r="C35" s="146"/>
      <c r="D35" s="134"/>
      <c r="E35" s="134"/>
    </row>
    <row r="36" spans="1:8" ht="30">
      <c r="A36" s="139" t="s">
        <v>183</v>
      </c>
      <c r="B36" s="144"/>
      <c r="C36" s="144"/>
      <c r="D36" s="284"/>
      <c r="E36" s="132">
        <f>E38+E43</f>
        <v>10</v>
      </c>
    </row>
    <row r="37" spans="1:8">
      <c r="A37" s="287"/>
      <c r="B37" s="145"/>
      <c r="C37" s="145"/>
      <c r="D37" s="134"/>
      <c r="E37" s="135"/>
    </row>
    <row r="38" spans="1:8" ht="18.75" customHeight="1">
      <c r="A38" s="767" t="s">
        <v>309</v>
      </c>
      <c r="B38" s="141" t="s">
        <v>222</v>
      </c>
      <c r="C38" s="111">
        <v>3</v>
      </c>
      <c r="D38" s="725">
        <f>ROUND(((('BILANS 2023'!C59+'BILANS 2023'!C64+'BILANS 2023'!C69+'BILANS 2023'!D59+'BILANS 2023'!D64+'BILANS 2023'!D69)/2)*365)/('RZiS 2023'!D10+'RZiS 2023'!D13),2)</f>
        <v>3.01</v>
      </c>
      <c r="E38" s="726">
        <f>IF(D38&lt;45,3,IF(AND(D38&gt;=45,D38&lt;60.5),2,IF(AND(D38&gt;=60.5,D38&lt;=90),1,0)))</f>
        <v>3</v>
      </c>
    </row>
    <row r="39" spans="1:8" ht="18.75" customHeight="1">
      <c r="A39" s="768"/>
      <c r="B39" s="141" t="s">
        <v>223</v>
      </c>
      <c r="C39" s="111">
        <v>2</v>
      </c>
      <c r="D39" s="725"/>
      <c r="E39" s="727"/>
    </row>
    <row r="40" spans="1:8" ht="18.75" customHeight="1">
      <c r="A40" s="768"/>
      <c r="B40" s="141" t="s">
        <v>224</v>
      </c>
      <c r="C40" s="111">
        <v>1</v>
      </c>
      <c r="D40" s="725"/>
      <c r="E40" s="727"/>
    </row>
    <row r="41" spans="1:8" ht="18.75" customHeight="1">
      <c r="A41" s="769"/>
      <c r="B41" s="201" t="s">
        <v>225</v>
      </c>
      <c r="C41" s="111">
        <v>0</v>
      </c>
      <c r="D41" s="725"/>
      <c r="E41" s="728"/>
    </row>
    <row r="42" spans="1:8">
      <c r="A42" s="288"/>
      <c r="B42" s="202"/>
      <c r="C42" s="203"/>
      <c r="D42" s="289"/>
      <c r="E42" s="134"/>
    </row>
    <row r="43" spans="1:8" ht="24" customHeight="1">
      <c r="A43" s="767" t="s">
        <v>310</v>
      </c>
      <c r="B43" s="141" t="s">
        <v>226</v>
      </c>
      <c r="C43" s="111">
        <v>7</v>
      </c>
      <c r="D43" s="731">
        <f>ROUND((('BILANS 2023'!J40+'BILANS 2023'!K40+'BILANS 2023'!J45+'BILANS 2023'!K45+'BILANS 2023'!J53+'BILANS 2023'!K53)/2)*365/('RZiS 2023'!D10+'RZiS 2023'!D13),2)</f>
        <v>8.77</v>
      </c>
      <c r="E43" s="709">
        <f>IF(D43&lt;60.5,7,IF(AND(D43&gt;=60.5,D43&lt;=90),4,0))</f>
        <v>7</v>
      </c>
    </row>
    <row r="44" spans="1:8" ht="21.75" customHeight="1">
      <c r="A44" s="768"/>
      <c r="B44" s="141" t="s">
        <v>224</v>
      </c>
      <c r="C44" s="111">
        <v>4</v>
      </c>
      <c r="D44" s="732"/>
      <c r="E44" s="710"/>
    </row>
    <row r="45" spans="1:8" ht="27" customHeight="1">
      <c r="A45" s="769"/>
      <c r="B45" s="141" t="s">
        <v>225</v>
      </c>
      <c r="C45" s="111">
        <v>0</v>
      </c>
      <c r="D45" s="733"/>
      <c r="E45" s="711"/>
    </row>
    <row r="46" spans="1:8">
      <c r="A46" s="280"/>
      <c r="B46" s="146"/>
      <c r="C46" s="146"/>
      <c r="D46" s="134"/>
      <c r="E46" s="134"/>
    </row>
    <row r="47" spans="1:8">
      <c r="A47" s="139" t="s">
        <v>184</v>
      </c>
      <c r="B47" s="144"/>
      <c r="C47" s="144"/>
      <c r="D47" s="284"/>
      <c r="E47" s="132">
        <f>E49+E54</f>
        <v>14</v>
      </c>
    </row>
    <row r="48" spans="1:8">
      <c r="A48" s="280"/>
      <c r="B48" s="142"/>
      <c r="C48" s="142"/>
      <c r="D48" s="134"/>
      <c r="E48" s="134"/>
    </row>
    <row r="49" spans="1:5" ht="18.75" customHeight="1">
      <c r="A49" s="719" t="s">
        <v>243</v>
      </c>
      <c r="B49" s="112" t="s">
        <v>227</v>
      </c>
      <c r="C49" s="111">
        <v>10</v>
      </c>
      <c r="D49" s="748">
        <f>ROUND(('BILANS 2023'!K38+'BILANS 2023'!K29+'BILANS 2023'!K21)/'BILANS 2023'!D95,4)</f>
        <v>0.53800000000000003</v>
      </c>
      <c r="E49" s="709">
        <f>IF(D49&lt;40%,10,IF(AND(D49&gt;=40%,D49&lt;=60%),8,IF(AND(D49&gt;60%,D49&lt;=80%),3,0)))</f>
        <v>8</v>
      </c>
    </row>
    <row r="50" spans="1:5">
      <c r="A50" s="720"/>
      <c r="B50" s="112" t="s">
        <v>228</v>
      </c>
      <c r="C50" s="111">
        <v>8</v>
      </c>
      <c r="D50" s="749"/>
      <c r="E50" s="710"/>
    </row>
    <row r="51" spans="1:5">
      <c r="A51" s="720"/>
      <c r="B51" s="112" t="s">
        <v>240</v>
      </c>
      <c r="C51" s="111">
        <v>3</v>
      </c>
      <c r="D51" s="749"/>
      <c r="E51" s="710"/>
    </row>
    <row r="52" spans="1:5">
      <c r="A52" s="721"/>
      <c r="B52" s="112" t="s">
        <v>229</v>
      </c>
      <c r="C52" s="111">
        <v>0</v>
      </c>
      <c r="D52" s="750"/>
      <c r="E52" s="711"/>
    </row>
    <row r="53" spans="1:5">
      <c r="A53" s="280"/>
      <c r="B53" s="146"/>
      <c r="C53" s="146"/>
      <c r="D53" s="290"/>
      <c r="E53" s="134"/>
    </row>
    <row r="54" spans="1:5" ht="19.5" customHeight="1">
      <c r="A54" s="719" t="s">
        <v>244</v>
      </c>
      <c r="B54" s="141" t="s">
        <v>230</v>
      </c>
      <c r="C54" s="111">
        <v>10</v>
      </c>
      <c r="D54" s="729">
        <f>ROUND(('BILANS 2023'!K21+'BILANS 2023'!K29+'BILANS 2023'!K38)/('BILANS 2023'!K8),2)</f>
        <v>1.68</v>
      </c>
      <c r="E54" s="709">
        <f>IF(AND(D54&gt;=0,D54&lt;=0.505),10,IF(AND(D54&gt;0.505,D54&lt;=1),8,IF(AND(D54&gt;1,D54&lt;=2),6,IF(AND(D54&gt;2,D54&lt;=4),4,0))))</f>
        <v>6</v>
      </c>
    </row>
    <row r="55" spans="1:5">
      <c r="A55" s="720"/>
      <c r="B55" s="141" t="s">
        <v>231</v>
      </c>
      <c r="C55" s="111">
        <v>8</v>
      </c>
      <c r="D55" s="729"/>
      <c r="E55" s="710"/>
    </row>
    <row r="56" spans="1:5">
      <c r="A56" s="720"/>
      <c r="B56" s="141" t="s">
        <v>232</v>
      </c>
      <c r="C56" s="111">
        <v>6</v>
      </c>
      <c r="D56" s="729"/>
      <c r="E56" s="710"/>
    </row>
    <row r="57" spans="1:5">
      <c r="A57" s="720"/>
      <c r="B57" s="141" t="s">
        <v>233</v>
      </c>
      <c r="C57" s="111">
        <v>4</v>
      </c>
      <c r="D57" s="729"/>
      <c r="E57" s="710"/>
    </row>
    <row r="58" spans="1:5" ht="25.5">
      <c r="A58" s="721"/>
      <c r="B58" s="201" t="s">
        <v>234</v>
      </c>
      <c r="C58" s="111">
        <v>0</v>
      </c>
      <c r="D58" s="729"/>
      <c r="E58" s="711"/>
    </row>
    <row r="59" spans="1:5">
      <c r="A59" s="280"/>
      <c r="B59" s="146"/>
      <c r="C59" s="146"/>
      <c r="D59" s="282"/>
      <c r="E59" s="134"/>
    </row>
    <row r="60" spans="1:5" ht="24.75" customHeight="1">
      <c r="A60" s="291" t="s">
        <v>188</v>
      </c>
      <c r="B60" s="147"/>
      <c r="C60" s="147"/>
      <c r="D60" s="292"/>
      <c r="E60" s="136">
        <f>E6+E23+E36+E47</f>
        <v>61</v>
      </c>
    </row>
    <row r="63" spans="1:5" ht="29.25" customHeight="1">
      <c r="A63" s="743" t="s">
        <v>303</v>
      </c>
      <c r="B63" s="743"/>
      <c r="C63" s="743"/>
      <c r="D63" s="743"/>
      <c r="E63" s="743"/>
    </row>
  </sheetData>
  <sheetProtection algorithmName="SHA-512" hashValue="w9/74EFbA2BSLKOUNDmBWKn6T2f03saZPWqjF5xypBRDb5P36XC6CYCXHtQcCoWMJTZnQVkCM99I4tY8Q8jyeQ==" saltValue="wqRacJ2qFFOIcE8YsEqsWQ==" spinCount="100000" sheet="1" formatCells="0" formatColumns="0" formatRows="0"/>
  <mergeCells count="30">
    <mergeCell ref="A54:A58"/>
    <mergeCell ref="D54:D58"/>
    <mergeCell ref="E54:E58"/>
    <mergeCell ref="A63:E63"/>
    <mergeCell ref="A43:A45"/>
    <mergeCell ref="D43:D45"/>
    <mergeCell ref="E43:E45"/>
    <mergeCell ref="A49:A52"/>
    <mergeCell ref="D49:D52"/>
    <mergeCell ref="E49:E52"/>
    <mergeCell ref="A31:A34"/>
    <mergeCell ref="D31:D34"/>
    <mergeCell ref="E31:E34"/>
    <mergeCell ref="A38:A41"/>
    <mergeCell ref="D38:D41"/>
    <mergeCell ref="E38:E41"/>
    <mergeCell ref="A18:A21"/>
    <mergeCell ref="D18:D21"/>
    <mergeCell ref="E18:E21"/>
    <mergeCell ref="A25:A29"/>
    <mergeCell ref="D25:D29"/>
    <mergeCell ref="E25:E29"/>
    <mergeCell ref="A13:A16"/>
    <mergeCell ref="D13:D16"/>
    <mergeCell ref="E13:E16"/>
    <mergeCell ref="A3:E3"/>
    <mergeCell ref="B4:C4"/>
    <mergeCell ref="A8:A11"/>
    <mergeCell ref="D8:D11"/>
    <mergeCell ref="E8:E1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Nazwane zakresy</vt:lpstr>
      </vt:variant>
      <vt:variant>
        <vt:i4>22</vt:i4>
      </vt:variant>
    </vt:vector>
  </HeadingPairs>
  <TitlesOfParts>
    <vt:vector size="44" baseType="lpstr">
      <vt:lpstr>BILANS 2022</vt:lpstr>
      <vt:lpstr>RZiS 2022</vt:lpstr>
      <vt:lpstr>Analiza wskaźnikowa za 2022 rok</vt:lpstr>
      <vt:lpstr>BILANS 2022-prog-wyk</vt:lpstr>
      <vt:lpstr>RZiS 2022-prog-wyk</vt:lpstr>
      <vt:lpstr>Analiza wskaź za 2022 prog-wyk</vt:lpstr>
      <vt:lpstr>BILANS 2023</vt:lpstr>
      <vt:lpstr>RZiS 2023</vt:lpstr>
      <vt:lpstr>Analiza wskaźnikowa za 2023 rok</vt:lpstr>
      <vt:lpstr>Arkusz1</vt:lpstr>
      <vt:lpstr>BILANS 2024</vt:lpstr>
      <vt:lpstr>RZiS 2024</vt:lpstr>
      <vt:lpstr>Analiza wskaźnikowa za 2024 rok</vt:lpstr>
      <vt:lpstr>BILANS 2025</vt:lpstr>
      <vt:lpstr>RZiS 2025</vt:lpstr>
      <vt:lpstr>Analiza wskaźnikowa za 2025 rok</vt:lpstr>
      <vt:lpstr>podsumowanie prognozy</vt:lpstr>
      <vt:lpstr>BILANS prognozy -ZEST</vt:lpstr>
      <vt:lpstr>RZiS prognozy-ZEST</vt:lpstr>
      <vt:lpstr>zestawienie </vt:lpstr>
      <vt:lpstr>ZEST DYR</vt:lpstr>
      <vt:lpstr>ZEST DYR2</vt:lpstr>
      <vt:lpstr>'Analiza wskaź za 2022 prog-wyk'!Obszar_wydruku</vt:lpstr>
      <vt:lpstr>'Analiza wskaźnikowa za 2022 rok'!Obszar_wydruku</vt:lpstr>
      <vt:lpstr>'Analiza wskaźnikowa za 2023 rok'!Obszar_wydruku</vt:lpstr>
      <vt:lpstr>'Analiza wskaźnikowa za 2024 rok'!Obszar_wydruku</vt:lpstr>
      <vt:lpstr>'Analiza wskaźnikowa za 2025 rok'!Obszar_wydruku</vt:lpstr>
      <vt:lpstr>'BILANS 2022'!Obszar_wydruku</vt:lpstr>
      <vt:lpstr>'BILANS 2022-prog-wyk'!Obszar_wydruku</vt:lpstr>
      <vt:lpstr>'BILANS 2023'!Obszar_wydruku</vt:lpstr>
      <vt:lpstr>'BILANS 2024'!Obszar_wydruku</vt:lpstr>
      <vt:lpstr>'BILANS 2025'!Obszar_wydruku</vt:lpstr>
      <vt:lpstr>'BILANS prognozy -ZEST'!Obszar_wydruku</vt:lpstr>
      <vt:lpstr>'RZiS 2022'!Obszar_wydruku</vt:lpstr>
      <vt:lpstr>'RZiS 2022-prog-wyk'!Obszar_wydruku</vt:lpstr>
      <vt:lpstr>'RZiS 2023'!Obszar_wydruku</vt:lpstr>
      <vt:lpstr>'RZiS 2024'!Obszar_wydruku</vt:lpstr>
      <vt:lpstr>'RZiS 2025'!Obszar_wydruku</vt:lpstr>
      <vt:lpstr>'zestawienie '!Obszar_wydruku</vt:lpstr>
      <vt:lpstr>'BILANS 2022'!Tytuły_wydruku</vt:lpstr>
      <vt:lpstr>'BILANS 2022-prog-wyk'!Tytuły_wydruku</vt:lpstr>
      <vt:lpstr>'BILANS 2023'!Tytuły_wydruku</vt:lpstr>
      <vt:lpstr>'BILANS 2024'!Tytuły_wydruku</vt:lpstr>
      <vt:lpstr>'BILANS 2025'!Tytuły_wydruku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Zuzanna</dc:creator>
  <cp:lastModifiedBy>Anna Wieczorek</cp:lastModifiedBy>
  <cp:lastPrinted>2023-05-25T11:07:43Z</cp:lastPrinted>
  <dcterms:created xsi:type="dcterms:W3CDTF">2017-04-23T10:06:41Z</dcterms:created>
  <dcterms:modified xsi:type="dcterms:W3CDTF">2023-05-30T10:48:41Z</dcterms:modified>
</cp:coreProperties>
</file>